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I:\Jadu website documents\Planning\Planning services\Nutrients and phosphates\"/>
    </mc:Choice>
  </mc:AlternateContent>
  <workbookProtection workbookAlgorithmName="SHA-512" workbookHashValue="x1FFtGKB+BRD0HxCIomwi7wD0/nurnr2GklRe6vfpIIpXcH2SqxBGxPaH3OiPfC5w10drCmUHKO6n9+DWbwO4A==" workbookSaltValue="yJru14zcyzW5joEOXj9Eiw==" workbookSpinCount="100000" lockStructure="1"/>
  <bookViews>
    <workbookView xWindow="0" yWindow="0" windowWidth="19200" windowHeight="8300" activeTab="3"/>
  </bookViews>
  <sheets>
    <sheet name="Intro" sheetId="6" r:id="rId1"/>
    <sheet name="Background" sheetId="16" r:id="rId2"/>
    <sheet name="River Lugg and Wye SAC" sheetId="15" r:id="rId3"/>
    <sheet name="Instructions" sheetId="17" r:id="rId4"/>
    <sheet name="Development site details" sheetId="2" r:id="rId5"/>
    <sheet name="Stage 1" sheetId="7" r:id="rId6"/>
    <sheet name="Stage 2" sheetId="8" r:id="rId7"/>
    <sheet name="Stage 3" sheetId="9" r:id="rId8"/>
    <sheet name="Stage 4" sheetId="10" r:id="rId9"/>
    <sheet name="Stage 4 (2)" sheetId="13" state="hidden" r:id="rId10"/>
    <sheet name="Lookups" sheetId="3" r:id="rId11"/>
  </sheets>
  <externalReferences>
    <externalReference r:id="rId12"/>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 i="7" l="1"/>
  <c r="I333" i="3"/>
  <c r="E17" i="9" s="1"/>
  <c r="E11" i="9"/>
  <c r="E12" i="9"/>
  <c r="E13" i="9"/>
  <c r="E18" i="9"/>
  <c r="E19" i="9"/>
  <c r="E20" i="9"/>
  <c r="E21" i="9"/>
  <c r="E22" i="9"/>
  <c r="E23" i="9"/>
  <c r="E24" i="9"/>
  <c r="E25" i="9"/>
  <c r="E26" i="9"/>
  <c r="E16" i="8"/>
  <c r="E17" i="8"/>
  <c r="E18" i="8"/>
  <c r="E19" i="8"/>
  <c r="E20" i="8"/>
  <c r="E21" i="8"/>
  <c r="E22" i="8"/>
  <c r="E23" i="8"/>
  <c r="E24" i="8"/>
  <c r="E25" i="8"/>
  <c r="E26" i="8"/>
  <c r="E31" i="8"/>
  <c r="E15" i="8"/>
  <c r="E30" i="8" l="1"/>
  <c r="I337" i="3"/>
  <c r="E10" i="9" s="1"/>
  <c r="O52" i="3"/>
  <c r="O63" i="3"/>
  <c r="J333" i="3" s="1"/>
  <c r="O73" i="3"/>
  <c r="O82" i="3"/>
  <c r="O87" i="3"/>
  <c r="O95" i="3"/>
  <c r="O100" i="3"/>
  <c r="O109" i="3"/>
  <c r="O120" i="3"/>
  <c r="N120" i="3"/>
  <c r="N109" i="3"/>
  <c r="N100" i="3"/>
  <c r="N95" i="3"/>
  <c r="N87" i="3"/>
  <c r="N82" i="3"/>
  <c r="N73" i="3"/>
  <c r="N63" i="3"/>
  <c r="N52" i="3"/>
  <c r="E27" i="8" l="1"/>
  <c r="E14" i="9"/>
  <c r="M213" i="3"/>
  <c r="M52" i="3"/>
  <c r="M54" i="3"/>
  <c r="M60" i="3"/>
  <c r="M63" i="3"/>
  <c r="M65" i="3"/>
  <c r="M71" i="3"/>
  <c r="M73" i="3"/>
  <c r="M75" i="3"/>
  <c r="M79" i="3"/>
  <c r="M82" i="3"/>
  <c r="M83" i="3"/>
  <c r="M86" i="3"/>
  <c r="M87" i="3"/>
  <c r="M88" i="3"/>
  <c r="M94" i="3"/>
  <c r="M95" i="3"/>
  <c r="M97" i="3"/>
  <c r="M100" i="3"/>
  <c r="M102" i="3"/>
  <c r="M107" i="3"/>
  <c r="M109" i="3"/>
  <c r="M111" i="3"/>
  <c r="M117" i="3"/>
  <c r="M120" i="3"/>
  <c r="M122" i="3"/>
  <c r="M128" i="3"/>
  <c r="M131" i="3"/>
  <c r="M134" i="3"/>
  <c r="M140" i="3"/>
  <c r="M143" i="3"/>
  <c r="M146" i="3"/>
  <c r="M152" i="3"/>
  <c r="M156" i="3"/>
  <c r="M159" i="3"/>
  <c r="M165" i="3"/>
  <c r="M167" i="3"/>
  <c r="M168" i="3"/>
  <c r="M170" i="3"/>
  <c r="M175" i="3"/>
  <c r="M177" i="3"/>
  <c r="M180" i="3"/>
  <c r="M183" i="3"/>
  <c r="M184" i="3"/>
  <c r="M186" i="3"/>
  <c r="M190" i="3"/>
  <c r="M191" i="3"/>
  <c r="M194" i="3"/>
  <c r="M200" i="3"/>
  <c r="M204" i="3"/>
  <c r="M207" i="3"/>
  <c r="L213" i="3"/>
  <c r="L207" i="3"/>
  <c r="L204" i="3"/>
  <c r="L200" i="3"/>
  <c r="L194" i="3"/>
  <c r="L191" i="3"/>
  <c r="L190" i="3"/>
  <c r="L186" i="3"/>
  <c r="L184" i="3"/>
  <c r="L183" i="3"/>
  <c r="L180" i="3"/>
  <c r="L177" i="3"/>
  <c r="L175" i="3"/>
  <c r="L170" i="3"/>
  <c r="L168" i="3"/>
  <c r="L167" i="3"/>
  <c r="L165" i="3"/>
  <c r="L159" i="3"/>
  <c r="L156" i="3"/>
  <c r="L152" i="3"/>
  <c r="L146" i="3"/>
  <c r="L143" i="3"/>
  <c r="L140" i="3"/>
  <c r="L134" i="3"/>
  <c r="L131" i="3"/>
  <c r="L128" i="3"/>
  <c r="L122" i="3"/>
  <c r="L120" i="3"/>
  <c r="L117" i="3"/>
  <c r="L111" i="3"/>
  <c r="L109" i="3"/>
  <c r="L107" i="3"/>
  <c r="L102" i="3"/>
  <c r="L100" i="3"/>
  <c r="L97" i="3"/>
  <c r="L95" i="3"/>
  <c r="L94" i="3"/>
  <c r="L88" i="3"/>
  <c r="L87" i="3"/>
  <c r="L86" i="3"/>
  <c r="L83" i="3"/>
  <c r="L82" i="3"/>
  <c r="L79" i="3"/>
  <c r="L75" i="3"/>
  <c r="L73" i="3"/>
  <c r="L71" i="3"/>
  <c r="L65" i="3"/>
  <c r="L63" i="3"/>
  <c r="L60" i="3"/>
  <c r="L54" i="3"/>
  <c r="K85" i="3" l="1"/>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H218" i="3"/>
  <c r="H219" i="3"/>
  <c r="L52" i="3" s="1"/>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85" i="3"/>
  <c r="H217" i="3"/>
  <c r="H83" i="3" l="1"/>
  <c r="H76" i="3" l="1"/>
  <c r="H77" i="3"/>
  <c r="H78" i="3"/>
  <c r="H79" i="3"/>
  <c r="H80" i="3"/>
  <c r="H81" i="3"/>
  <c r="H82" i="3"/>
  <c r="H84" i="3"/>
  <c r="F16" i="8" l="1"/>
  <c r="F17" i="8"/>
  <c r="F18" i="8"/>
  <c r="F19" i="8"/>
  <c r="F20" i="8"/>
  <c r="F21" i="8"/>
  <c r="F22" i="8"/>
  <c r="F23" i="8"/>
  <c r="F24" i="8"/>
  <c r="F25" i="8"/>
  <c r="F26" i="8"/>
  <c r="F31" i="8"/>
  <c r="F15" i="8"/>
  <c r="K76" i="3"/>
  <c r="K77" i="3"/>
  <c r="K78" i="3"/>
  <c r="K79" i="3"/>
  <c r="K80" i="3"/>
  <c r="K81" i="3"/>
  <c r="K82" i="3"/>
  <c r="K83" i="3"/>
  <c r="K84" i="3"/>
  <c r="K53" i="3"/>
  <c r="K54" i="3"/>
  <c r="K55" i="3"/>
  <c r="K56" i="3"/>
  <c r="K57" i="3"/>
  <c r="K58" i="3"/>
  <c r="K59" i="3"/>
  <c r="K60" i="3"/>
  <c r="K61" i="3"/>
  <c r="K62" i="3"/>
  <c r="K63" i="3"/>
  <c r="K64" i="3"/>
  <c r="K65" i="3"/>
  <c r="K66" i="3"/>
  <c r="K67" i="3"/>
  <c r="K68" i="3"/>
  <c r="K69" i="3"/>
  <c r="K70" i="3"/>
  <c r="K71" i="3"/>
  <c r="K72" i="3"/>
  <c r="K73" i="3"/>
  <c r="K74" i="3"/>
  <c r="K75" i="3"/>
  <c r="K52" i="3"/>
  <c r="H72" i="3"/>
  <c r="H73" i="3"/>
  <c r="H74" i="3"/>
  <c r="H75" i="3"/>
  <c r="J337" i="3" l="1"/>
  <c r="F27" i="8" s="1"/>
  <c r="H71" i="3"/>
  <c r="C21" i="10" l="1"/>
  <c r="F21" i="10"/>
  <c r="F29" i="10"/>
  <c r="F22" i="10"/>
  <c r="G35" i="7"/>
  <c r="G20" i="7"/>
  <c r="C20" i="7"/>
  <c r="G10" i="7"/>
  <c r="F15" i="7"/>
  <c r="H15" i="7"/>
  <c r="G22" i="7"/>
  <c r="H14" i="7"/>
  <c r="F14" i="7"/>
  <c r="G14" i="7"/>
  <c r="G15" i="7"/>
  <c r="I35" i="7"/>
  <c r="I22" i="7"/>
  <c r="D14" i="7"/>
  <c r="D22" i="7"/>
  <c r="D23" i="7" s="1"/>
  <c r="D26" i="7" l="1"/>
  <c r="F19" i="9"/>
  <c r="F23" i="9"/>
  <c r="H53" i="3"/>
  <c r="H54" i="3"/>
  <c r="H55" i="3"/>
  <c r="H56" i="3"/>
  <c r="H57" i="3"/>
  <c r="H58" i="3"/>
  <c r="H59" i="3"/>
  <c r="H60" i="3"/>
  <c r="H61" i="3"/>
  <c r="H62" i="3"/>
  <c r="H63" i="3"/>
  <c r="H64" i="3"/>
  <c r="H65" i="3"/>
  <c r="H66" i="3"/>
  <c r="H67" i="3"/>
  <c r="H68" i="3"/>
  <c r="H69" i="3"/>
  <c r="H70" i="3"/>
  <c r="H52" i="3"/>
  <c r="J339" i="3"/>
  <c r="J338" i="3"/>
  <c r="F28" i="8" s="1"/>
  <c r="I338" i="3"/>
  <c r="I339" i="3"/>
  <c r="D15" i="7"/>
  <c r="H35" i="7" s="1"/>
  <c r="H339" i="3"/>
  <c r="H338" i="3"/>
  <c r="H337" i="3"/>
  <c r="H336" i="3"/>
  <c r="H335" i="3"/>
  <c r="H334" i="3"/>
  <c r="H333" i="3"/>
  <c r="H332" i="3"/>
  <c r="E28" i="8" l="1"/>
  <c r="E15" i="9"/>
  <c r="E29" i="8"/>
  <c r="E16" i="9"/>
  <c r="F29" i="8"/>
  <c r="F30" i="8"/>
  <c r="D32" i="7"/>
  <c r="F11" i="9"/>
  <c r="F10" i="9"/>
  <c r="F12" i="9"/>
  <c r="F15" i="9"/>
  <c r="F26" i="9"/>
  <c r="F22" i="9"/>
  <c r="F18" i="9"/>
  <c r="F14" i="9"/>
  <c r="F25" i="9"/>
  <c r="F21" i="9"/>
  <c r="F13" i="9"/>
  <c r="F24" i="9"/>
  <c r="F20" i="9"/>
  <c r="F16" i="9"/>
  <c r="E27" i="9" l="1"/>
  <c r="F17" i="9"/>
  <c r="F27" i="9" s="1"/>
  <c r="F32" i="8"/>
  <c r="D27" i="7"/>
  <c r="D33" i="7"/>
  <c r="E32" i="8"/>
  <c r="G22" i="10" l="1"/>
  <c r="G28" i="10"/>
  <c r="D11" i="10"/>
  <c r="D17" i="10"/>
  <c r="D34" i="7"/>
  <c r="D35" i="7" s="1"/>
  <c r="D28" i="7"/>
  <c r="C16" i="13"/>
  <c r="C27" i="13"/>
  <c r="D16" i="10" l="1"/>
  <c r="D18" i="10" s="1"/>
  <c r="D19" i="10" s="1"/>
  <c r="D28" i="10" s="1"/>
  <c r="C15" i="13"/>
  <c r="C17" i="13" s="1"/>
  <c r="C18" i="13" s="1"/>
  <c r="F29" i="13" s="1"/>
  <c r="D27" i="9" l="1"/>
  <c r="D32" i="8"/>
  <c r="D29" i="7"/>
  <c r="D10" i="10" l="1"/>
  <c r="D12" i="10" s="1"/>
  <c r="D13" i="10" s="1"/>
  <c r="D22" i="10" s="1"/>
  <c r="C24" i="13"/>
  <c r="C30" i="13" s="1"/>
  <c r="C33" i="13" s="1"/>
  <c r="H11" i="13" l="1"/>
  <c r="F24" i="13"/>
</calcChain>
</file>

<file path=xl/sharedStrings.xml><?xml version="1.0" encoding="utf-8"?>
<sst xmlns="http://schemas.openxmlformats.org/spreadsheetml/2006/main" count="1503" uniqueCount="284">
  <si>
    <t>Catchment</t>
  </si>
  <si>
    <t>Farmscoper Farm Term</t>
  </si>
  <si>
    <t>Climate</t>
  </si>
  <si>
    <t>Farmscoper Soil Drainage Term</t>
  </si>
  <si>
    <t>Lookup</t>
  </si>
  <si>
    <t>Operational Catchment</t>
  </si>
  <si>
    <t>Farmscoper equivalent</t>
  </si>
  <si>
    <t>Cereals</t>
  </si>
  <si>
    <t>600to700</t>
  </si>
  <si>
    <t>FreeDrain</t>
  </si>
  <si>
    <t>DrainedAr</t>
  </si>
  <si>
    <t>DrainedArGr</t>
  </si>
  <si>
    <t>700to900</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</si>
  <si>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</si>
  <si>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</si>
  <si>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</si>
  <si>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</si>
  <si>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</si>
  <si>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</si>
  <si>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</si>
  <si>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</si>
  <si>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</si>
  <si>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</si>
  <si>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</si>
  <si>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</si>
  <si>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General</t>
  </si>
  <si>
    <t>Naturally wet</t>
  </si>
  <si>
    <t>1200to1500</t>
  </si>
  <si>
    <t>Over1500</t>
  </si>
  <si>
    <t>Rainfall band</t>
  </si>
  <si>
    <t>508 - 525</t>
  </si>
  <si>
    <t>525.1 - 550</t>
  </si>
  <si>
    <t>Horticulture</t>
  </si>
  <si>
    <t>550.1 - 575</t>
  </si>
  <si>
    <t>575.1 - 600</t>
  </si>
  <si>
    <t>600.1 - 625</t>
  </si>
  <si>
    <t>625.1 - 650</t>
  </si>
  <si>
    <t>650.1 - 675</t>
  </si>
  <si>
    <t>675.1 - 700</t>
  </si>
  <si>
    <t>700.1 - 750</t>
  </si>
  <si>
    <t>750.1 - 800</t>
  </si>
  <si>
    <t>800.1 - 850</t>
  </si>
  <si>
    <t>Pig</t>
  </si>
  <si>
    <t>850.1 - 900</t>
  </si>
  <si>
    <t>900.1 - 950</t>
  </si>
  <si>
    <t>950.1 - 1,000</t>
  </si>
  <si>
    <t>1,000.1 - 1,100</t>
  </si>
  <si>
    <t>Poultry</t>
  </si>
  <si>
    <t>1,100.1 - 1,200</t>
  </si>
  <si>
    <t>1,200.1 - 1,400</t>
  </si>
  <si>
    <t>1,400.1 - 1,600</t>
  </si>
  <si>
    <t>1,600.1 - 2,000</t>
  </si>
  <si>
    <t>2,000.1 - 2,400</t>
  </si>
  <si>
    <t>2,400.1 - 3,000</t>
  </si>
  <si>
    <t>3,000.1 - 4,000</t>
  </si>
  <si>
    <t>Dairy</t>
  </si>
  <si>
    <t>4,000.1 - 5,500</t>
  </si>
  <si>
    <t>LFA</t>
  </si>
  <si>
    <t>Lowland</t>
  </si>
  <si>
    <t>Mixed</t>
  </si>
  <si>
    <t>Greenspace</t>
  </si>
  <si>
    <t>Woodland</t>
  </si>
  <si>
    <t>Shrub</t>
  </si>
  <si>
    <t>Water</t>
  </si>
  <si>
    <t>Residential urban land</t>
  </si>
  <si>
    <t>Open urban land</t>
  </si>
  <si>
    <t>Community food growing</t>
  </si>
  <si>
    <t>Planning Application number:</t>
  </si>
  <si>
    <t>Site Address:</t>
  </si>
  <si>
    <t>Site Name:</t>
  </si>
  <si>
    <t>Catchment:</t>
  </si>
  <si>
    <t>Date of first occupancy:</t>
  </si>
  <si>
    <t>Average occupancy rate:</t>
  </si>
  <si>
    <t>Additional population</t>
  </si>
  <si>
    <t>Wastewater by development</t>
  </si>
  <si>
    <t>litres/day</t>
  </si>
  <si>
    <t>TP discharge from WwTW</t>
  </si>
  <si>
    <t>mg TP/day</t>
  </si>
  <si>
    <t>Convert to kg/TP/d</t>
  </si>
  <si>
    <t>kg TP/day</t>
  </si>
  <si>
    <t>Convert to kg/TP/yr</t>
  </si>
  <si>
    <t>kg TP/yr</t>
  </si>
  <si>
    <t>Soil drainage type:</t>
  </si>
  <si>
    <t>Total:</t>
  </si>
  <si>
    <t>N loading to WwTW:</t>
  </si>
  <si>
    <t>Net land use N change:</t>
  </si>
  <si>
    <t>N budget:</t>
  </si>
  <si>
    <t>N budget + 20% buffer:</t>
  </si>
  <si>
    <t>P budget + 20% buffer:</t>
  </si>
  <si>
    <t>P budget:</t>
  </si>
  <si>
    <t>Net land use P change:</t>
  </si>
  <si>
    <t>P loading to WwTW:</t>
  </si>
  <si>
    <t>NVZ</t>
  </si>
  <si>
    <t>No</t>
  </si>
  <si>
    <t>Yes</t>
  </si>
  <si>
    <t>Nitrogen export coefficient</t>
  </si>
  <si>
    <r>
      <t xml:space="preserve">Water usage </t>
    </r>
    <r>
      <rPr>
        <sz val="11"/>
        <rFont val="Arial"/>
        <family val="2"/>
      </rPr>
      <t>(litres/person/day)</t>
    </r>
    <r>
      <rPr>
        <b/>
        <sz val="11"/>
        <rFont val="Arial"/>
        <family val="2"/>
      </rPr>
      <t>:</t>
    </r>
  </si>
  <si>
    <r>
      <t xml:space="preserve">Area </t>
    </r>
    <r>
      <rPr>
        <sz val="11"/>
        <color theme="1"/>
        <rFont val="Arial"/>
        <family val="2"/>
      </rPr>
      <t>(ha)</t>
    </r>
  </si>
  <si>
    <r>
      <t>Commercial/</t>
    </r>
    <r>
      <rPr>
        <i/>
        <sz val="11"/>
        <color theme="1"/>
        <rFont val="Arial"/>
        <family val="2"/>
      </rPr>
      <t>i</t>
    </r>
    <r>
      <rPr>
        <sz val="11"/>
        <color theme="1"/>
        <rFont val="Arial"/>
        <family val="2"/>
      </rPr>
      <t>ndustrial urban land</t>
    </r>
  </si>
  <si>
    <t>Discharge Site Name</t>
  </si>
  <si>
    <t>Septic Tank default</t>
  </si>
  <si>
    <t>TN discharge from WwTW</t>
  </si>
  <si>
    <t>mg TN/day</t>
  </si>
  <si>
    <t>kg TN/day</t>
  </si>
  <si>
    <t>kg TN/yr</t>
  </si>
  <si>
    <t>Convert to kg/TN/d</t>
  </si>
  <si>
    <t>Convert to kg/TN/yr</t>
  </si>
  <si>
    <t>Package Treatment Plant default</t>
  </si>
  <si>
    <t>Package Treatment Plant user defined</t>
  </si>
  <si>
    <t>Septic Tank user defined</t>
  </si>
  <si>
    <t>Table 1: Stage 1 WwTW lookup</t>
  </si>
  <si>
    <t>-</t>
  </si>
  <si>
    <t>Mid</t>
  </si>
  <si>
    <t>Farmscoper Equivalent</t>
  </si>
  <si>
    <t>Under600</t>
  </si>
  <si>
    <t>Residential N export coefficient (kg/ha/yr)</t>
  </si>
  <si>
    <t>Commercial / industrial N export coefficient (kg/ha/yr)</t>
  </si>
  <si>
    <t>Open urban N export coefficient (kg/ha/yr)</t>
  </si>
  <si>
    <t>Residential P export coefficient (kg/ha/yr)</t>
  </si>
  <si>
    <t>Commercial / industrial P export coefficient (kg/ha/yr)</t>
  </si>
  <si>
    <t>Open urban P export coefficient (kg/ha/yr)</t>
  </si>
  <si>
    <t xml:space="preserve">P Urban Runoff Coefficient </t>
  </si>
  <si>
    <t>Table 2: Stage 2 and 3 Landcover lookup</t>
  </si>
  <si>
    <t>All Possible Landcover Types</t>
  </si>
  <si>
    <t>Table 5: Stage 2 and 3 Soil Drainage Lookup</t>
  </si>
  <si>
    <t>Table 4: Stage 2 and 3 Catchment Lookup</t>
  </si>
  <si>
    <t>Table 6: Stage 2 and 3 NVZ Lookup</t>
  </si>
  <si>
    <t>Table 7: Stage 2 and 3 Landcovers</t>
  </si>
  <si>
    <t>Table 8: Stage 2 and 3 Landcover lookup</t>
  </si>
  <si>
    <t>The total amount of nitrogen to mitigate is:</t>
  </si>
  <si>
    <t>Your final phosphorus budget is:</t>
  </si>
  <si>
    <t>have pop up message if negative that says soemthing like "No P to mitigate</t>
  </si>
  <si>
    <t xml:space="preserve">If positive have message similar to the right </t>
  </si>
  <si>
    <r>
      <t xml:space="preserve">Date </t>
    </r>
    <r>
      <rPr>
        <sz val="11"/>
        <rFont val="Calibri"/>
        <family val="2"/>
        <scheme val="minor"/>
      </rPr>
      <t>(dd/mm/yyyy)</t>
    </r>
    <r>
      <rPr>
        <b/>
        <sz val="11"/>
        <rFont val="Calibri"/>
        <family val="2"/>
        <scheme val="minor"/>
      </rPr>
      <t>:</t>
    </r>
  </si>
  <si>
    <t>AND($C$9&lt;DATE(2025,1,1),OR((VLOOKUP($C$13,Lookups!$A$9:$E$14,2,FALSE))&gt;(VLOOKUP($C$13,Lookups!$A$9:$E$14,4,FALSE)),(VLOOKUP($C$13,Lookups!$A$9:$E$14,3,FALSE))&gt;(VLOOKUP($C$13,Lookups!$A$9:$E$14,5,FALSE))))</t>
  </si>
  <si>
    <t>Annual wastewater TP load</t>
  </si>
  <si>
    <t>Annual wastewater TN load</t>
  </si>
  <si>
    <t>people</t>
  </si>
  <si>
    <t>The total annual phosphorus load to mitigate is:</t>
  </si>
  <si>
    <t>The total annual nitrogen load to mitigate is:</t>
  </si>
  <si>
    <t xml:space="preserve">http://environment.data.gov.uk/catchment-planning/ </t>
  </si>
  <si>
    <t xml:space="preserve">http://www.landis.org.uk/soilscapes/#.  </t>
  </si>
  <si>
    <t>http://mapapps2.bgs.ac.uk/ukso/home.html?layers=NVZEng</t>
  </si>
  <si>
    <t>New land use type(s)</t>
  </si>
  <si>
    <t>Existing land use type(s)</t>
  </si>
  <si>
    <t>Instructions</t>
  </si>
  <si>
    <t>The nutrient budget for a site is calculated in four stages, with each stage implemented in the following worksheets.</t>
  </si>
  <si>
    <t xml:space="preserve">Note: </t>
  </si>
  <si>
    <t xml:space="preserve">Key: </t>
  </si>
  <si>
    <t>Values to be entered by the user</t>
  </si>
  <si>
    <t>Fixed or calculated values</t>
  </si>
  <si>
    <t>Lookup tables</t>
  </si>
  <si>
    <r>
      <t>It is advisable to retain a blank copy of this workbook and "Save as" a new copy each time you calculate a budget, in case of any mistakes in data inputs or to ease calculation of new nutrient budgets .</t>
    </r>
    <r>
      <rPr>
        <b/>
        <sz val="11"/>
        <color rgb="FF000000"/>
        <rFont val="Arial"/>
        <family val="2"/>
      </rPr>
      <t xml:space="preserve"> </t>
    </r>
  </si>
  <si>
    <t>When a cell is selected, instructions are shown on how to fill out the cell:</t>
  </si>
  <si>
    <t xml:space="preserve">In this section the user will need to enter: </t>
  </si>
  <si>
    <t>The date of first occupancy. This is because some wastewater treatment works (WwTW) may be due an upgrade in 2025 which will change the nutrient concentration permit values. This will be shown through two values for the permits and nutrients load from before and after the upgrade.</t>
  </si>
  <si>
    <t>In this section some environmental information about the development will need to be entered as well as the type(s) and area(s) of landcover on the development site. Only landcovers for the land that is being altered by the development should be entered.</t>
  </si>
  <si>
    <t>The drop down list of landcover types contains seven agricultural landcover types and eight different non-agricultural landcover types that may be present in the development. Please find out what landcover types are within the development before completing this tool. If there is a landcover within the development area that is not in the list please select the most similar landcover type.</t>
  </si>
  <si>
    <t>The instructions at the bottom of this page detail how to find the environmental information for the site if it is unknown.</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</si>
  <si>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</si>
  <si>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</si>
  <si>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</si>
  <si>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</si>
  <si>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The value(s) shown are how much nutrient mitigation is required in kilograms per year to achieve nutrient neutrality.</t>
  </si>
  <si>
    <t>If there are two values due to changing permits, the calculator will show the total amount of nutrient mitigation that is needed before and after the changing permit date.</t>
  </si>
  <si>
    <t>b) Search the location by place name, postcode etc. This will give a high-level view of the area. Use the zoom feature to find the exact location of the development.</t>
  </si>
  <si>
    <t>c) Click on the light blue area on the map in which the development is located. This will bring the user to the Operational Catchment page</t>
  </si>
  <si>
    <t>d) Make note of the name of the Operational Catchment and select it from the dropdown list in the relevant cell.</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</si>
  <si>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</si>
  <si>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</si>
  <si>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</si>
  <si>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</si>
  <si>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</si>
  <si>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</si>
  <si>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b) Enter the location of the development site in the search bar.</t>
  </si>
  <si>
    <t xml:space="preserve">d) Make note of this and select this in the dropdown list. </t>
  </si>
  <si>
    <t>2.1 Stage 1: calculate the new nutrient load associated with the additional wastewater:</t>
  </si>
  <si>
    <t>2.2 Stage 2 - calculate the annual nutrient load from existing (pre development) land use on the development site:</t>
  </si>
  <si>
    <t>2.3 Stage 3 - calculate the annual nutrient load from new (post-development) land use on the development site:</t>
  </si>
  <si>
    <t>2.4 Stage 4 - calculate the net change in nutrient loading for the site and the final annual nutrient budget for the development site:</t>
  </si>
  <si>
    <t>2.5 The equation used to calculate the nutrient budget:</t>
  </si>
  <si>
    <t>3.1 Instructions for finding the Operational Catchment that the development is situated within:</t>
  </si>
  <si>
    <t>3.3 Instructions for finding the annual average rainfall that the development will receive using the National River Flow Archive:</t>
  </si>
  <si>
    <t>3.4 Instructions for finding out whether the development is in a Nitrate Vulnerable Zone (NVZ):</t>
  </si>
  <si>
    <t>Mean P export of farm type</t>
  </si>
  <si>
    <t>Mean N export of farm type</t>
  </si>
  <si>
    <t>Mean P export of farm type and climate combination</t>
  </si>
  <si>
    <t>Mean N export of farm type and climate combination</t>
  </si>
  <si>
    <t>Table 3: Stage 2 and 3 Rainfall / Urban Lookup</t>
  </si>
  <si>
    <t>Phosphorus, Total as P (mg/l), permit post 2025</t>
  </si>
  <si>
    <t>Phosphorus, Total as P (mg/l)</t>
  </si>
  <si>
    <t>N Urban Runoff Coefficient (kg/ha/yr)</t>
  </si>
  <si>
    <t xml:space="preserve">The additional nutrient load from the increase in wastewater and/or the change in the land use of the development land created by a new residential development can create an impact pathway for potential negative effects on European sites that are already suffering from problems related to nutrient loading. This impact pathway is shown diagrammatically in Figure 1.  </t>
  </si>
  <si>
    <t>Background</t>
  </si>
  <si>
    <t>Stage 1 Calculated Loading</t>
  </si>
  <si>
    <t>User Inputs</t>
  </si>
  <si>
    <t>Stage 1</t>
  </si>
  <si>
    <r>
      <t xml:space="preserve">Annual phosphorus nutrient export 
</t>
    </r>
    <r>
      <rPr>
        <sz val="11"/>
        <color theme="1"/>
        <rFont val="Arial"/>
        <family val="2"/>
      </rPr>
      <t>(kg TP)</t>
    </r>
  </si>
  <si>
    <r>
      <t xml:space="preserve">Annual nitrogen nutrient export 
</t>
    </r>
    <r>
      <rPr>
        <sz val="11"/>
        <color theme="1"/>
        <rFont val="Arial"/>
        <family val="2"/>
      </rPr>
      <t>(kg TN)</t>
    </r>
  </si>
  <si>
    <t>Stage 2</t>
  </si>
  <si>
    <t>Stage 3</t>
  </si>
  <si>
    <t>Calculated Outputs</t>
  </si>
  <si>
    <t>Stage 4</t>
  </si>
  <si>
    <t>Look Up Tables</t>
  </si>
  <si>
    <r>
      <t xml:space="preserve">Annual nitrogen nutrient export
</t>
    </r>
    <r>
      <rPr>
        <sz val="11"/>
        <color theme="1"/>
        <rFont val="Arial"/>
        <family val="2"/>
      </rPr>
      <t>(kg TN)</t>
    </r>
  </si>
  <si>
    <t>3.2 Instructions for finding the drainage associated with the predominant soil type within development site:</t>
  </si>
  <si>
    <t>Farm Lookup</t>
  </si>
  <si>
    <t>c) Once the area has been located, click on the map where the development is located to find out if is within an NVZ.</t>
  </si>
  <si>
    <r>
      <t xml:space="preserve">Wastewater treatment works P permit </t>
    </r>
    <r>
      <rPr>
        <sz val="11"/>
        <rFont val="Arial"/>
        <family val="2"/>
      </rPr>
      <t>(mg TP/litre)</t>
    </r>
    <r>
      <rPr>
        <b/>
        <sz val="11"/>
        <rFont val="Arial"/>
        <family val="2"/>
      </rPr>
      <t>:</t>
    </r>
  </si>
  <si>
    <t>Wastewater treatment works:</t>
  </si>
  <si>
    <r>
      <t xml:space="preserve">Wastewater treatment works N permit </t>
    </r>
    <r>
      <rPr>
        <sz val="11"/>
        <rFont val="Arial"/>
        <family val="2"/>
      </rPr>
      <t>(mg TN/litre)</t>
    </r>
    <r>
      <rPr>
        <b/>
        <sz val="11"/>
        <rFont val="Arial"/>
        <family val="2"/>
      </rPr>
      <t>:</t>
    </r>
  </si>
  <si>
    <r>
      <t xml:space="preserve">Annual average rainfall </t>
    </r>
    <r>
      <rPr>
        <sz val="11"/>
        <rFont val="Arial"/>
        <family val="2"/>
      </rPr>
      <t>(mm)</t>
    </r>
    <r>
      <rPr>
        <b/>
        <sz val="11"/>
        <rFont val="Arial"/>
        <family val="2"/>
      </rPr>
      <t>:</t>
    </r>
  </si>
  <si>
    <t>Within Nitrate Vulnerable Zone (NVZ):</t>
  </si>
  <si>
    <t xml:space="preserve">There have been a series of court cases in recent years relating to how new plans or projects interact with the Habitats Regulations process where there are existing high levels of background nutrients. These decisions have led Natural England to review its advice on water quality effects on European sites.  </t>
  </si>
  <si>
    <r>
      <t>This tool provides a step-by-step approach to calculating the nutrient budget for a new residential development.  Before a nutrient budget can be completed using the methodology, certain site-specific details for the European Site in question need to be determined.  The required details for each stage of the nutrient budget methodology are shown in the instructions tab, with an associated guidance document that informs users of this calculator how to generate certain inputs to the calculator.</t>
    </r>
    <r>
      <rPr>
        <sz val="12"/>
        <color rgb="FF000000"/>
        <rFont val="Arial"/>
        <family val="2"/>
      </rPr>
      <t xml:space="preserve"> </t>
    </r>
  </si>
  <si>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If editing any values in this tool, you must make sure there is a sufficient evidence base to justify these changes and that the new inputs are selected in accordance with the precautionary principle.  </t>
  </si>
  <si>
    <t>Development site details</t>
  </si>
  <si>
    <t>Nitrogen, Total as N (mg/l)</t>
  </si>
  <si>
    <t>https://nrfa.ceh.ac.uk/data/station/spatial/55003</t>
  </si>
  <si>
    <t>b) This link will bring the user to the Lugg at Lugwardine flow gauge catchment information page.</t>
  </si>
  <si>
    <t>Westbury Council Houses Stoke Lacey</t>
  </si>
  <si>
    <t>Wye OC</t>
  </si>
  <si>
    <t>Nitrogen, Total as N (mg/l), permit post 2025</t>
  </si>
  <si>
    <t>Lugg Specific Landcover Types</t>
  </si>
  <si>
    <t>Phosphorus export coefficient</t>
  </si>
  <si>
    <t>Wye</t>
  </si>
  <si>
    <t>Dilwyn Wastewater Treatment Works</t>
  </si>
  <si>
    <t>Kingsland Wastewater Treatment Work</t>
  </si>
  <si>
    <t>Kington Wastewater Treatment Works</t>
  </si>
  <si>
    <t xml:space="preserve">Increased levels of nitrogen and phosphorous entering aquatic environments via surface water and groundwater can severely threaten these sensitive habitats and species within the SAC. The elevated levels of nutrients can cause eutrophication, leading to algal blooms which disrupt normal ecosystem function and cause major changes in the aquatic community. These algal blooms can result in reduced levels of oxygen within the water, which in turn can lead to the death of many aquatic organisms including invertebrates and fish. </t>
  </si>
  <si>
    <t>River Lugg, part of the River Wye Special Area of Conservation (SAC)</t>
  </si>
  <si>
    <t xml:space="preserve">The River Lugg is part of the River Wye SAC, which is a European site with water pollution and eutrophication considered a threat to its condition.  </t>
  </si>
  <si>
    <t xml:space="preserve">The River Wye forms one of the longest near natural rivers in England and Wales being in total 250 km in length draining a catchment of 4136km². The River Wye rises in the mountains of Wales, flowing through Rhayader and Builth Wells until it meets the Severn Estuary just below Chepstow. The River Lugg meets the River Wye downstream of Hereford at Mordiford. </t>
  </si>
  <si>
    <t>The Lower Wye is a rare example of a near natural, large western eutrophic river which, unlike many of the rivers of this type, has not been subject to significant straightening and other modification by human activity.</t>
  </si>
  <si>
    <t xml:space="preserve">The exceptionally varied habitat of the River Wye is host to a broad range of flora and fauna including a diverse invertebrate community, and a range of migratory and non-migratory fish species. This includes Atlantic salmon, brown trout, sea trout and grayling, all three lamprey species and both Twaite and Allis shad. </t>
  </si>
  <si>
    <t>A varied assemblage of birds are found along the course of the river.  These include species typical of typical of fast-flowing sections, such as dipper and grey wagtail, whilst characteristic lowland bird species such as heron and kingfisher are found in the slower flowing sections of the river</t>
  </si>
  <si>
    <t xml:space="preserve">More detailed information on the qualifying features of the SAC and details of water quality data highlighting the current nutrient problems in the river are available in the Natural England River Wye SAC evidence summary </t>
  </si>
  <si>
    <t>Acton Green WwTW</t>
  </si>
  <si>
    <t>Bishops Frome WwTW</t>
  </si>
  <si>
    <t>Bodenham STW  Bodenham  Hereford</t>
  </si>
  <si>
    <t>Bredenbury (Grendon Firs) STW</t>
  </si>
  <si>
    <t>Bromyard WwTW</t>
  </si>
  <si>
    <t>Canon Pyon WwTW</t>
  </si>
  <si>
    <t>Cso At Shobdon STW</t>
  </si>
  <si>
    <t>Dinmarsh STW   Ullingswick</t>
  </si>
  <si>
    <t>Dormington STW Dormington  Hereford</t>
  </si>
  <si>
    <t>Edwyn Ralph STW Edwyn Ralph Bromyad</t>
  </si>
  <si>
    <t>Ivington STW</t>
  </si>
  <si>
    <t>Luston And Yarpole STW</t>
  </si>
  <si>
    <t>Monkhide STW Monkhide Herefordshire</t>
  </si>
  <si>
    <t>Mordiford (Pentaloe Close) STW</t>
  </si>
  <si>
    <t>Mordiford (Sufton Rise) STW</t>
  </si>
  <si>
    <t>Moreton On Lugg WwTW</t>
  </si>
  <si>
    <t>Much Cowarne (Mill Lane) STW</t>
  </si>
  <si>
    <t>Ocle Pychard STW  Ocle Pychard</t>
  </si>
  <si>
    <t>Pembridge STW</t>
  </si>
  <si>
    <t>Pencombe STW</t>
  </si>
  <si>
    <t>Pipe And Lyde STW</t>
  </si>
  <si>
    <t>Preston Wynne STW</t>
  </si>
  <si>
    <t>Stanford Bishop STW</t>
  </si>
  <si>
    <t>Stoke Edith STW  Stoke Edith</t>
  </si>
  <si>
    <t>Stoke Lacy (Cricks Green) STW</t>
  </si>
  <si>
    <t>Stretton Grandison STW</t>
  </si>
  <si>
    <t>Tarrington STW  Tarrington Hereford</t>
  </si>
  <si>
    <t>Ullingswick (Bullocks Bridge) STW</t>
  </si>
  <si>
    <t>Weobley STW</t>
  </si>
  <si>
    <t>Weston Beggard STW</t>
  </si>
  <si>
    <t>Leominster Wastewater Treatment Works</t>
  </si>
  <si>
    <t>Lyonshall Wastewater Treatment Works</t>
  </si>
  <si>
    <t>Titley STW  Titley  Kington</t>
  </si>
  <si>
    <r>
      <rPr>
        <b/>
        <i/>
        <sz val="8"/>
        <color theme="2" tint="-0.249977111117893"/>
        <rFont val="Calibri"/>
        <family val="2"/>
        <scheme val="minor"/>
      </rPr>
      <t>Image Source:</t>
    </r>
    <r>
      <rPr>
        <i/>
        <sz val="8"/>
        <color theme="2" tint="-0.249977111117893"/>
        <rFont val="Calibri"/>
        <family val="2"/>
        <scheme val="minor"/>
      </rPr>
      <t xml:space="preserve">
Rob Purvis
The Lugg River, Lugg Flats, Hereford</t>
    </r>
    <r>
      <rPr>
        <sz val="8"/>
        <color theme="2" tint="-0.249977111117893"/>
        <rFont val="Calibri"/>
        <family val="2"/>
        <scheme val="minor"/>
      </rPr>
      <t xml:space="preserve">
Copyright: © Rob Purvis 2003</t>
    </r>
  </si>
  <si>
    <t xml:space="preserve">Habitats Regulations Assessments (HRAs) of new residential developments need to consider whether nutrient loading will result in ‘Likely Significant Effects’ (LSE) on a European site.  If an HRA finds LSE due to nutrient loading,  the Appropriate Assessment will need to consider whether this nutrient load needs to be mitigated in order to remove adverse effects on the European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</si>
  <si>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</si>
  <si>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a) Go to this link:</t>
  </si>
  <si>
    <t xml:space="preserve">a) Go to this link:  </t>
  </si>
  <si>
    <t xml:space="preserve">a) Go to this link:   </t>
  </si>
  <si>
    <t>3. Site specific data collection instructions:</t>
  </si>
  <si>
    <t>The number of dwellings/units that will be in the development at the time of completion.</t>
  </si>
  <si>
    <t>The average occupancy rate of the development will need to be entered. The default setting is the national occupancy rate of 2.4 people per dwelling/unit. Only change this value if there is sufficient evidence that the development will be different to the national average.</t>
  </si>
  <si>
    <t>2. Stage specific instructions:</t>
  </si>
  <si>
    <t>1. General tips:</t>
  </si>
  <si>
    <t>The receiving WwTW that the development will drain to. If it is uncertain what WwTW the site will drain to, please find this information from your sewerage company before completing the calculator. If it is not feasable to connect to a WwTW and a septic tank or package treatment plant is being used, please select this option. Please be aware that if the total phosphorus (TP) final effluent concentrations (in mg/l) are specified by the manufacturer, please select 'Septic Tank user defined' or 'Package Treatment Plant user defined' and enter the manufacturer specified value in the cell where prompted.</t>
  </si>
  <si>
    <r>
      <t xml:space="preserve">Development Proposal </t>
    </r>
    <r>
      <rPr>
        <sz val="11"/>
        <rFont val="Arial"/>
        <family val="2"/>
      </rPr>
      <t>(dwellings/units)</t>
    </r>
    <r>
      <rPr>
        <b/>
        <sz val="11"/>
        <rFont val="Arial"/>
        <family val="2"/>
      </rPr>
      <t>:</t>
    </r>
  </si>
  <si>
    <t>Arrow, Lugg and Frome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</si>
</sst>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Calibri"/>
      <family val="2"/>
      <scheme val="minor"/>
    </font>
    <font>
      <sz val="11"/>
      <name val="Calibri"/>
      <family val="2"/>
      <scheme val="minor"/>
    </font>
    <font>
      <u/>
      <sz val="11"/>
      <color theme="10"/>
      <name val="Calibri"/>
      <family val="2"/>
      <scheme val="minor"/>
    </font>
    <font>
      <sz val="11"/>
      <color theme="1"/>
      <name val="Gill Sans MT"/>
      <family val="2"/>
    </font>
    <font>
      <b/>
      <sz val="11"/>
      <color theme="0"/>
      <name val="Gill Sans MT"/>
      <family val="2"/>
    </font>
    <font>
      <b/>
      <sz val="11"/>
      <color theme="1"/>
      <name val="Gill Sans MT"/>
      <family val="2"/>
    </font>
    <font>
      <b/>
      <sz val="11"/>
      <color theme="1"/>
      <name val="Calibri"/>
      <family val="2"/>
      <scheme val="minor"/>
    </font>
    <font>
      <sz val="11"/>
      <name val="Gill Sans MT"/>
      <family val="2"/>
    </font>
    <font>
      <b/>
      <sz val="11"/>
      <color theme="1"/>
      <name val="Arial"/>
      <family val="2"/>
    </font>
    <font>
      <b/>
      <sz val="11"/>
      <name val="Arial"/>
      <family val="2"/>
    </font>
    <font>
      <sz val="11"/>
      <name val="Arial"/>
      <family val="2"/>
    </font>
    <font>
      <sz val="11"/>
      <color theme="0"/>
      <name val="Gill Sans MT"/>
      <family val="2"/>
    </font>
    <font>
      <sz val="11"/>
      <color theme="1"/>
      <name val="Arial"/>
      <family val="2"/>
    </font>
    <font>
      <sz val="11"/>
      <color rgb="FF000000"/>
      <name val="Arial"/>
      <family val="2"/>
    </font>
    <font>
      <i/>
      <sz val="11"/>
      <color theme="1"/>
      <name val="Arial"/>
      <family val="2"/>
    </font>
    <font>
      <sz val="11"/>
      <color theme="1" tint="4.9989318521683403E-2"/>
      <name val="Arial"/>
      <family val="2"/>
    </font>
    <font>
      <b/>
      <sz val="11"/>
      <name val="Calibri"/>
      <family val="2"/>
      <scheme val="minor"/>
    </font>
    <font>
      <b/>
      <sz val="12"/>
      <color theme="1"/>
      <name val="Arial"/>
      <family val="2"/>
    </font>
    <font>
      <sz val="11"/>
      <color rgb="FF242424"/>
      <name val="Segoe UI"/>
      <family val="2"/>
    </font>
    <font>
      <sz val="11"/>
      <color theme="1" tint="0.14999847407452621"/>
      <name val="Calibri"/>
      <family val="2"/>
      <scheme val="minor"/>
    </font>
    <font>
      <sz val="11"/>
      <color theme="0"/>
      <name val="Calibri"/>
      <family val="2"/>
      <scheme val="minor"/>
    </font>
    <font>
      <b/>
      <sz val="14"/>
      <color theme="1"/>
      <name val="Arial"/>
      <family val="2"/>
    </font>
    <font>
      <b/>
      <sz val="11"/>
      <color theme="1"/>
      <name val="Century Gothic"/>
      <family val="2"/>
    </font>
    <font>
      <sz val="11"/>
      <color theme="1" tint="0.14999847407452621"/>
      <name val="Arial"/>
      <family val="2"/>
    </font>
    <font>
      <b/>
      <sz val="11"/>
      <color theme="1" tint="0.14999847407452621"/>
      <name val="Arial"/>
      <family val="2"/>
    </font>
    <font>
      <sz val="12"/>
      <color theme="1"/>
      <name val="Century Gothic"/>
      <family val="2"/>
    </font>
    <font>
      <sz val="8"/>
      <color theme="2" tint="-0.249977111117893"/>
      <name val="Calibri"/>
      <family val="2"/>
      <scheme val="minor"/>
    </font>
    <font>
      <b/>
      <i/>
      <sz val="8"/>
      <color theme="2" tint="-0.249977111117893"/>
      <name val="Calibri"/>
      <family val="2"/>
      <scheme val="minor"/>
    </font>
    <font>
      <i/>
      <sz val="8"/>
      <color theme="2" tint="-0.249977111117893"/>
      <name val="Calibri"/>
      <family val="2"/>
      <scheme val="minor"/>
    </font>
    <font>
      <sz val="8"/>
      <name val="Calibri"/>
      <family val="2"/>
      <scheme val="minor"/>
    </font>
    <font>
      <b/>
      <u/>
      <sz val="14"/>
      <color rgb="FF000000"/>
      <name val="Arial"/>
      <family val="2"/>
    </font>
    <font>
      <b/>
      <sz val="11"/>
      <color rgb="FF000000"/>
      <name val="Arial"/>
      <family val="2"/>
    </font>
    <font>
      <u/>
      <sz val="11"/>
      <color theme="10"/>
      <name val="Arial"/>
      <family val="2"/>
    </font>
    <font>
      <b/>
      <sz val="18"/>
      <color theme="0"/>
      <name val="Century Gothic"/>
      <family val="2"/>
    </font>
    <font>
      <sz val="12"/>
      <color rgb="FF000000"/>
      <name val="Arial"/>
      <family val="2"/>
    </font>
    <font>
      <b/>
      <sz val="14"/>
      <color theme="1"/>
      <name val="Century Gothic"/>
      <family val="2"/>
    </font>
    <font>
      <b/>
      <sz val="24"/>
      <color theme="0"/>
      <name val="Century Gothic"/>
      <family val="2"/>
    </font>
    <font>
      <sz val="24"/>
      <color theme="0"/>
      <name val="Century Gothic"/>
      <family val="2"/>
    </font>
    <font>
      <sz val="11"/>
      <color theme="6" tint="0.79998168889431442"/>
      <name val="Calibri"/>
      <family val="2"/>
      <scheme val="minor"/>
    </font>
    <font>
      <sz val="11"/>
      <color theme="6" tint="0.79998168889431442"/>
      <name val="Gill Sans MT"/>
      <family val="2"/>
    </font>
    <font>
      <u/>
      <sz val="11"/>
      <color theme="10"/>
      <name val="Segoe UI"/>
      <family val="2"/>
    </font>
  </fonts>
  <fills count="7">
    <fill>
      <patternFill patternType="none"/>
    </fill>
    <fill>
      <patternFill patternType="gray125"/>
    </fill>
    <fill>
      <patternFill patternType="solid">
        <fgColor theme="0"/>
        <bgColor indexed="64"/>
      </patternFill>
    </fill>
    <fill>
      <patternFill patternType="solid">
        <fgColor rgb="FF9DD3BE"/>
        <bgColor indexed="64"/>
      </patternFill>
    </fill>
    <fill>
      <patternFill patternType="solid">
        <fgColor rgb="FFF7E8BE"/>
        <bgColor indexed="64"/>
      </patternFill>
    </fill>
    <fill>
      <patternFill patternType="solid">
        <fgColor theme="6" tint="0.79998168889431442"/>
        <bgColor indexed="64"/>
      </patternFill>
    </fill>
    <fill>
      <patternFill patternType="solid">
        <fgColor rgb="FF449669"/>
        <bgColor indexed="64"/>
      </patternFill>
    </fill>
  </fills>
  <borders count="24">
    <border>
      <left/>
      <right/>
      <top/>
      <bottom/>
      <diagonal/>
    </border>
    <border>
      <left/>
      <right/>
      <top/>
      <bottom style="thick">
        <color rgb="FF449669"/>
      </bottom>
      <diagonal/>
    </border>
    <border>
      <left/>
      <right style="thick">
        <color rgb="FF449669"/>
      </right>
      <top/>
      <bottom/>
      <diagonal/>
    </border>
    <border>
      <left/>
      <right style="thick">
        <color rgb="FF449669"/>
      </right>
      <top/>
      <bottom style="thick">
        <color rgb="FF449669"/>
      </bottom>
      <diagonal/>
    </border>
    <border>
      <left/>
      <right/>
      <top style="thick">
        <color rgb="FF449669"/>
      </top>
      <bottom style="thick">
        <color rgb="FF449669"/>
      </bottom>
      <diagonal/>
    </border>
    <border>
      <left style="thick">
        <color rgb="FF449669"/>
      </left>
      <right style="thick">
        <color rgb="FF449669"/>
      </right>
      <top/>
      <bottom/>
      <diagonal/>
    </border>
    <border>
      <left style="thick">
        <color rgb="FF449669"/>
      </left>
      <right style="thick">
        <color rgb="FF449669"/>
      </right>
      <top/>
      <bottom style="thick">
        <color rgb="FF449669"/>
      </bottom>
      <diagonal/>
    </border>
    <border>
      <left/>
      <right/>
      <top style="thick">
        <color rgb="FF449669"/>
      </top>
      <bottom/>
      <diagonal/>
    </border>
    <border>
      <left style="thick">
        <color rgb="FF449669"/>
      </left>
      <right/>
      <top style="thick">
        <color rgb="FF449669"/>
      </top>
      <bottom/>
      <diagonal/>
    </border>
    <border>
      <left/>
      <right style="thick">
        <color rgb="FF449669"/>
      </right>
      <top style="thick">
        <color rgb="FF449669"/>
      </top>
      <bottom/>
      <diagonal/>
    </border>
    <border>
      <left style="thick">
        <color rgb="FF449669"/>
      </left>
      <right/>
      <top/>
      <bottom/>
      <diagonal/>
    </border>
    <border>
      <left style="thick">
        <color rgb="FF449669"/>
      </left>
      <right/>
      <top/>
      <bottom style="thick">
        <color rgb="FF449669"/>
      </bottom>
      <diagonal/>
    </border>
    <border>
      <left/>
      <right/>
      <top/>
      <bottom style="medium">
        <color rgb="FF449669"/>
      </bottom>
      <diagonal/>
    </border>
    <border>
      <left/>
      <right/>
      <top style="medium">
        <color rgb="FF449669"/>
      </top>
      <bottom/>
      <diagonal/>
    </border>
    <border>
      <left/>
      <right/>
      <top style="medium">
        <color rgb="FF449669"/>
      </top>
      <bottom style="medium">
        <color rgb="FF449669"/>
      </bottom>
      <diagonal/>
    </border>
    <border>
      <left/>
      <right style="medium">
        <color rgb="FF449669"/>
      </right>
      <top/>
      <bottom/>
      <diagonal/>
    </border>
    <border>
      <left style="medium">
        <color rgb="FF449669"/>
      </left>
      <right style="medium">
        <color rgb="FF449669"/>
      </right>
      <top/>
      <bottom/>
      <diagonal/>
    </border>
    <border>
      <left/>
      <right style="medium">
        <color rgb="FF449669"/>
      </right>
      <top/>
      <bottom style="medium">
        <color rgb="FF449669"/>
      </bottom>
      <diagonal/>
    </border>
    <border>
      <left style="medium">
        <color rgb="FF449669"/>
      </left>
      <right style="medium">
        <color rgb="FF449669"/>
      </right>
      <top/>
      <bottom style="medium">
        <color rgb="FF449669"/>
      </bottom>
      <diagonal/>
    </border>
    <border>
      <left/>
      <right style="medium">
        <color rgb="FF449669"/>
      </right>
      <top style="medium">
        <color rgb="FF449669"/>
      </top>
      <bottom/>
      <diagonal/>
    </border>
    <border>
      <left style="medium">
        <color rgb="FF449669"/>
      </left>
      <right/>
      <top/>
      <bottom/>
      <diagonal/>
    </border>
    <border>
      <left style="thick">
        <color rgb="FF449669"/>
      </left>
      <right style="thick">
        <color rgb="FF449669"/>
      </right>
      <top style="thick">
        <color rgb="FF449669"/>
      </top>
      <bottom/>
      <diagonal/>
    </border>
    <border>
      <left style="medium">
        <color rgb="FF449669"/>
      </left>
      <right style="medium">
        <color rgb="FF449669"/>
      </right>
      <top style="medium">
        <color rgb="FF449669"/>
      </top>
      <bottom/>
      <diagonal/>
    </border>
    <border>
      <left style="medium">
        <color rgb="FF449669"/>
      </left>
      <right/>
      <top/>
      <bottom style="medium">
        <color rgb="FF449669"/>
      </bottom>
      <diagonal/>
    </border>
  </borders>
  <cellStyleXfs count="2">
    <xf numFmtId="0" fontId="0" fillId="0" borderId="0"/>
    <xf numFmtId="0" fontId="2" fillId="0" borderId="0" applyNumberFormat="0" applyFill="0" applyBorder="0" applyAlignment="0" applyProtection="0"/>
  </cellStyleXfs>
  <cellXfs count="294">
    <xf numFmtId="0" fontId="0" fillId="0" borderId="0" xfId="0"/>
    <xf numFmtId="0" fontId="0" fillId="2" borderId="0" xfId="0" applyFill="1"/>
    <xf numFmtId="0" fontId="1" fillId="2" borderId="0" xfId="0" applyFont="1" applyFill="1"/>
    <xf numFmtId="0" fontId="3" fillId="2" borderId="0" xfId="0" applyFont="1" applyFill="1" applyBorder="1" applyAlignment="1">
      <alignment horizontal="left"/>
    </xf>
    <xf numFmtId="0" fontId="0" fillId="2" borderId="0" xfId="0" applyFill="1" applyBorder="1"/>
    <xf numFmtId="0" fontId="4" fillId="2" borderId="0" xfId="0" applyFont="1" applyFill="1" applyBorder="1" applyAlignment="1">
      <alignment horizontal="left"/>
    </xf>
    <xf numFmtId="0" fontId="5" fillId="2" borderId="0" xfId="0" applyFont="1" applyFill="1" applyBorder="1" applyAlignment="1">
      <alignment horizontal="left"/>
    </xf>
    <xf numFmtId="14" fontId="3" fillId="2" borderId="0" xfId="0" applyNumberFormat="1" applyFont="1" applyFill="1" applyBorder="1" applyAlignment="1">
      <alignment vertical="center" wrapText="1"/>
    </xf>
    <xf numFmtId="0" fontId="3" fillId="2" borderId="0" xfId="0" applyFont="1" applyFill="1" applyBorder="1" applyAlignment="1">
      <alignment vertical="center"/>
    </xf>
    <xf numFmtId="0" fontId="3" fillId="2" borderId="0" xfId="0" applyFont="1" applyFill="1" applyBorder="1" applyAlignment="1">
      <alignment vertical="center" wrapText="1"/>
    </xf>
    <xf numFmtId="0" fontId="3" fillId="2" borderId="0" xfId="0" applyFont="1" applyFill="1" applyBorder="1" applyAlignment="1">
      <alignment horizontal="left" vertical="center"/>
    </xf>
    <xf numFmtId="0" fontId="5" fillId="2" borderId="0" xfId="0" applyFont="1" applyFill="1" applyBorder="1" applyAlignment="1">
      <alignment horizontal="left" vertical="center"/>
    </xf>
    <xf numFmtId="0" fontId="3" fillId="2" borderId="0" xfId="0" applyFont="1" applyFill="1" applyBorder="1" applyAlignment="1">
      <alignment horizontal="center" vertical="center"/>
    </xf>
    <xf numFmtId="2" fontId="3" fillId="2" borderId="0" xfId="0" applyNumberFormat="1" applyFont="1" applyFill="1" applyBorder="1" applyAlignment="1">
      <alignment horizontal="center" vertical="center"/>
    </xf>
    <xf numFmtId="2" fontId="5" fillId="2" borderId="0" xfId="0" applyNumberFormat="1" applyFont="1" applyFill="1" applyBorder="1" applyAlignment="1">
      <alignment horizontal="center" vertical="center"/>
    </xf>
    <xf numFmtId="0" fontId="8" fillId="2" borderId="1" xfId="0" applyFont="1" applyFill="1" applyBorder="1"/>
    <xf numFmtId="0" fontId="9" fillId="2" borderId="0"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7" xfId="0" applyFont="1" applyFill="1" applyBorder="1" applyAlignment="1">
      <alignment horizontal="left" vertical="center" wrapText="1"/>
    </xf>
    <xf numFmtId="2" fontId="12" fillId="2" borderId="0" xfId="0" applyNumberFormat="1" applyFont="1" applyFill="1" applyBorder="1" applyAlignment="1">
      <alignment horizontal="center" vertical="center"/>
    </xf>
    <xf numFmtId="0" fontId="8" fillId="2" borderId="0" xfId="0" applyFont="1" applyFill="1" applyBorder="1" applyAlignment="1">
      <alignment horizontal="left" vertical="center"/>
    </xf>
    <xf numFmtId="2" fontId="8" fillId="4" borderId="0" xfId="0" applyNumberFormat="1" applyFont="1" applyFill="1" applyBorder="1" applyAlignment="1">
      <alignment horizontal="center" vertical="center"/>
    </xf>
    <xf numFmtId="2" fontId="8" fillId="2" borderId="0" xfId="0" applyNumberFormat="1" applyFont="1" applyFill="1" applyBorder="1" applyAlignment="1">
      <alignment horizontal="center" vertical="center"/>
    </xf>
    <xf numFmtId="0" fontId="12" fillId="2" borderId="0" xfId="0" applyFont="1" applyFill="1"/>
    <xf numFmtId="2" fontId="12" fillId="4" borderId="1" xfId="0" applyNumberFormat="1" applyFont="1" applyFill="1" applyBorder="1" applyAlignment="1">
      <alignment horizontal="left" vertical="center" wrapText="1"/>
    </xf>
    <xf numFmtId="14" fontId="12" fillId="2" borderId="0" xfId="0" applyNumberFormat="1" applyFont="1" applyFill="1" applyBorder="1" applyAlignment="1">
      <alignment vertical="center" wrapText="1"/>
    </xf>
    <xf numFmtId="0" fontId="12" fillId="2" borderId="0" xfId="0" applyFont="1" applyFill="1" applyBorder="1" applyAlignment="1">
      <alignment vertical="center"/>
    </xf>
    <xf numFmtId="0" fontId="12" fillId="2" borderId="0" xfId="0" applyFont="1" applyFill="1" applyBorder="1" applyAlignment="1">
      <alignment vertical="center" wrapText="1"/>
    </xf>
    <xf numFmtId="0" fontId="12" fillId="2" borderId="0" xfId="0" applyFont="1" applyFill="1" applyBorder="1" applyAlignment="1">
      <alignment horizontal="left" vertical="center"/>
    </xf>
    <xf numFmtId="2" fontId="12" fillId="2" borderId="0" xfId="0" applyNumberFormat="1" applyFont="1" applyFill="1" applyBorder="1" applyAlignment="1">
      <alignment horizontal="left" vertical="center"/>
    </xf>
    <xf numFmtId="0" fontId="12" fillId="2" borderId="0" xfId="0" applyFont="1" applyFill="1" applyBorder="1"/>
    <xf numFmtId="0" fontId="10" fillId="2" borderId="0" xfId="0" applyFont="1" applyFill="1" applyBorder="1" applyAlignment="1">
      <alignment horizontal="left" vertical="center"/>
    </xf>
    <xf numFmtId="0" fontId="9" fillId="2" borderId="0" xfId="0" applyFont="1" applyFill="1" applyBorder="1" applyAlignment="1">
      <alignment horizontal="left" vertical="center" wrapText="1"/>
    </xf>
    <xf numFmtId="0" fontId="12" fillId="5" borderId="0" xfId="0" applyFont="1" applyFill="1"/>
    <xf numFmtId="0" fontId="9" fillId="5" borderId="6" xfId="0" applyFont="1" applyFill="1" applyBorder="1" applyAlignment="1">
      <alignment horizontal="left" vertical="center"/>
    </xf>
    <xf numFmtId="0" fontId="9" fillId="5" borderId="3" xfId="0" applyFont="1" applyFill="1" applyBorder="1" applyAlignment="1">
      <alignment horizontal="left" vertical="center"/>
    </xf>
    <xf numFmtId="0" fontId="9" fillId="5" borderId="3" xfId="0" applyFont="1" applyFill="1" applyBorder="1" applyAlignment="1">
      <alignment horizontal="left" vertical="center" wrapText="1"/>
    </xf>
    <xf numFmtId="0" fontId="12" fillId="5" borderId="2" xfId="0" applyFont="1" applyFill="1" applyBorder="1" applyAlignment="1">
      <alignment horizontal="left" vertical="center"/>
    </xf>
    <xf numFmtId="2" fontId="12" fillId="5" borderId="0" xfId="0" applyNumberFormat="1" applyFont="1" applyFill="1" applyBorder="1" applyAlignment="1">
      <alignment horizontal="left" vertical="center"/>
    </xf>
    <xf numFmtId="0" fontId="8" fillId="5" borderId="1" xfId="0" applyFont="1" applyFill="1" applyBorder="1" applyAlignment="1">
      <alignment horizontal="left" vertical="center"/>
    </xf>
    <xf numFmtId="0" fontId="12" fillId="5" borderId="7" xfId="0" applyFont="1" applyFill="1" applyBorder="1" applyAlignment="1">
      <alignment horizontal="left" vertical="center"/>
    </xf>
    <xf numFmtId="0" fontId="12" fillId="5" borderId="0" xfId="0" applyFont="1" applyFill="1" applyBorder="1" applyAlignment="1">
      <alignment horizontal="left" vertical="center"/>
    </xf>
    <xf numFmtId="0" fontId="13" fillId="5" borderId="0" xfId="0" applyFont="1" applyFill="1" applyBorder="1" applyAlignment="1">
      <alignment horizontal="left" vertical="center"/>
    </xf>
    <xf numFmtId="0" fontId="12" fillId="5" borderId="0" xfId="0" applyFont="1" applyFill="1" applyBorder="1"/>
    <xf numFmtId="0" fontId="9" fillId="5" borderId="11" xfId="0" applyFont="1" applyFill="1" applyBorder="1" applyAlignment="1">
      <alignment horizontal="left" vertical="center" wrapText="1"/>
    </xf>
    <xf numFmtId="0" fontId="12" fillId="5" borderId="10" xfId="0" applyFont="1" applyFill="1" applyBorder="1" applyAlignment="1">
      <alignment horizontal="left" vertical="center"/>
    </xf>
    <xf numFmtId="0" fontId="9" fillId="5" borderId="11" xfId="0" applyFont="1" applyFill="1" applyBorder="1" applyAlignment="1">
      <alignment horizontal="left" vertical="center"/>
    </xf>
    <xf numFmtId="49" fontId="12" fillId="5" borderId="2" xfId="0" applyNumberFormat="1" applyFont="1" applyFill="1" applyBorder="1" applyAlignment="1">
      <alignment horizontal="left" vertical="center"/>
    </xf>
    <xf numFmtId="0" fontId="12" fillId="5" borderId="5" xfId="0" applyFont="1" applyFill="1" applyBorder="1" applyAlignment="1">
      <alignment horizontal="left" vertical="center"/>
    </xf>
    <xf numFmtId="2" fontId="12" fillId="5" borderId="10" xfId="0" applyNumberFormat="1" applyFont="1" applyFill="1" applyBorder="1" applyAlignment="1">
      <alignment horizontal="left" vertical="center"/>
    </xf>
    <xf numFmtId="0" fontId="9" fillId="5" borderId="6" xfId="0" applyFont="1" applyFill="1" applyBorder="1" applyAlignment="1">
      <alignment horizontal="left" vertical="center" wrapText="1"/>
    </xf>
    <xf numFmtId="0" fontId="10" fillId="5" borderId="2" xfId="0" applyFont="1" applyFill="1" applyBorder="1" applyAlignment="1">
      <alignment horizontal="left" vertical="center"/>
    </xf>
    <xf numFmtId="2" fontId="12" fillId="5" borderId="2" xfId="0" applyNumberFormat="1" applyFont="1" applyFill="1" applyBorder="1" applyAlignment="1">
      <alignment horizontal="left" vertical="center"/>
    </xf>
    <xf numFmtId="0" fontId="10" fillId="5" borderId="5" xfId="0" applyFont="1" applyFill="1" applyBorder="1" applyAlignment="1">
      <alignment horizontal="left" vertical="center"/>
    </xf>
    <xf numFmtId="2" fontId="10" fillId="4" borderId="1" xfId="0" applyNumberFormat="1" applyFont="1" applyFill="1" applyBorder="1" applyAlignment="1">
      <alignment horizontal="left" vertical="center"/>
    </xf>
    <xf numFmtId="2" fontId="12" fillId="4" borderId="4" xfId="0" applyNumberFormat="1" applyFont="1" applyFill="1" applyBorder="1" applyAlignment="1">
      <alignment horizontal="left" vertical="center"/>
    </xf>
    <xf numFmtId="2" fontId="12" fillId="4" borderId="7" xfId="0" applyNumberFormat="1" applyFont="1" applyFill="1" applyBorder="1" applyAlignment="1">
      <alignment horizontal="left" vertical="center" wrapText="1"/>
    </xf>
    <xf numFmtId="2" fontId="8" fillId="2" borderId="0" xfId="0" applyNumberFormat="1" applyFont="1" applyFill="1" applyAlignment="1">
      <alignment vertical="center"/>
    </xf>
    <xf numFmtId="0" fontId="16" fillId="2" borderId="0" xfId="0" applyFont="1" applyFill="1" applyBorder="1" applyAlignment="1">
      <alignment horizontal="left" vertical="center" wrapText="1"/>
    </xf>
    <xf numFmtId="0" fontId="12" fillId="4" borderId="0" xfId="0" applyFont="1" applyFill="1" applyBorder="1" applyAlignment="1">
      <alignment horizontal="center" vertical="center"/>
    </xf>
    <xf numFmtId="0" fontId="12" fillId="2"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2" borderId="13" xfId="0" applyFont="1" applyFill="1" applyBorder="1" applyAlignment="1">
      <alignment horizontal="left" vertical="center"/>
    </xf>
    <xf numFmtId="0" fontId="8" fillId="2" borderId="13" xfId="0" applyFont="1" applyFill="1" applyBorder="1" applyAlignment="1">
      <alignment horizontal="left" vertical="center"/>
    </xf>
    <xf numFmtId="2" fontId="12" fillId="4" borderId="13" xfId="0" applyNumberFormat="1" applyFont="1" applyFill="1" applyBorder="1" applyAlignment="1">
      <alignment horizontal="center" vertical="center"/>
    </xf>
    <xf numFmtId="2" fontId="8" fillId="4" borderId="13" xfId="0" applyNumberFormat="1" applyFont="1" applyFill="1" applyBorder="1" applyAlignment="1">
      <alignment horizontal="center" vertical="center"/>
    </xf>
    <xf numFmtId="0" fontId="12" fillId="2" borderId="14" xfId="0" applyFont="1" applyFill="1" applyBorder="1" applyAlignment="1">
      <alignment horizontal="left" vertical="center"/>
    </xf>
    <xf numFmtId="0" fontId="12" fillId="4" borderId="14" xfId="0" applyFont="1" applyFill="1" applyBorder="1" applyAlignment="1">
      <alignment horizontal="center" vertical="center"/>
    </xf>
    <xf numFmtId="2" fontId="12" fillId="4" borderId="14" xfId="0" applyNumberFormat="1" applyFont="1" applyFill="1" applyBorder="1" applyAlignment="1">
      <alignment horizontal="center" vertical="center"/>
    </xf>
    <xf numFmtId="0" fontId="9" fillId="2" borderId="13"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8" fillId="2" borderId="12" xfId="0" applyFont="1" applyFill="1" applyBorder="1"/>
    <xf numFmtId="0" fontId="9" fillId="2" borderId="14" xfId="0" applyFont="1" applyFill="1" applyBorder="1" applyAlignment="1">
      <alignment horizontal="left" vertical="center" wrapText="1"/>
    </xf>
    <xf numFmtId="0" fontId="16" fillId="2" borderId="12" xfId="0" applyFont="1" applyFill="1" applyBorder="1" applyAlignment="1">
      <alignment horizontal="left" vertical="center" wrapText="1"/>
    </xf>
    <xf numFmtId="0" fontId="8" fillId="2" borderId="15" xfId="0" applyFont="1" applyFill="1" applyBorder="1" applyAlignment="1">
      <alignment horizontal="right"/>
    </xf>
    <xf numFmtId="0" fontId="8" fillId="2" borderId="17" xfId="0" applyFont="1" applyFill="1" applyBorder="1" applyAlignment="1">
      <alignment horizontal="left" vertical="center" wrapText="1"/>
    </xf>
    <xf numFmtId="0" fontId="8" fillId="2" borderId="12" xfId="0" applyFont="1" applyFill="1" applyBorder="1" applyAlignment="1">
      <alignment horizontal="left" vertical="center" wrapText="1"/>
    </xf>
    <xf numFmtId="0" fontId="8" fillId="2" borderId="19" xfId="0" applyFont="1" applyFill="1" applyBorder="1" applyAlignment="1">
      <alignment horizontal="right"/>
    </xf>
    <xf numFmtId="0" fontId="8" fillId="2" borderId="17" xfId="0" applyFont="1" applyFill="1" applyBorder="1" applyAlignment="1">
      <alignment horizontal="left" vertical="center"/>
    </xf>
    <xf numFmtId="2" fontId="8" fillId="4" borderId="0" xfId="0" applyNumberFormat="1" applyFont="1" applyFill="1" applyBorder="1" applyAlignment="1">
      <alignment horizontal="left"/>
    </xf>
    <xf numFmtId="2" fontId="8" fillId="4" borderId="12" xfId="0" applyNumberFormat="1" applyFont="1" applyFill="1" applyBorder="1" applyAlignment="1">
      <alignment horizontal="left"/>
    </xf>
    <xf numFmtId="0" fontId="12" fillId="4" borderId="0" xfId="0" applyFont="1" applyFill="1" applyBorder="1" applyAlignment="1">
      <alignment horizontal="center" vertical="center" wrapText="1"/>
    </xf>
    <xf numFmtId="0" fontId="21" fillId="2" borderId="0" xfId="0" applyFont="1" applyFill="1" applyBorder="1" applyAlignment="1">
      <alignment vertical="center" wrapText="1"/>
    </xf>
    <xf numFmtId="14" fontId="8" fillId="2" borderId="0" xfId="0" applyNumberFormat="1" applyFont="1" applyFill="1" applyBorder="1" applyAlignment="1">
      <alignment vertical="center" wrapText="1"/>
    </xf>
    <xf numFmtId="0" fontId="8" fillId="2" borderId="0" xfId="0" applyFont="1" applyFill="1" applyBorder="1" applyAlignment="1">
      <alignment vertical="center" wrapText="1"/>
    </xf>
    <xf numFmtId="0" fontId="7" fillId="2" borderId="0" xfId="0" applyFont="1" applyFill="1" applyBorder="1" applyAlignment="1">
      <alignment horizontal="center" vertical="center" wrapText="1"/>
    </xf>
    <xf numFmtId="0" fontId="0" fillId="2" borderId="0" xfId="0" applyFill="1" applyAlignment="1">
      <alignment horizontal="left"/>
    </xf>
    <xf numFmtId="2" fontId="8" fillId="2" borderId="0" xfId="0" applyNumberFormat="1" applyFont="1" applyFill="1" applyBorder="1" applyAlignment="1">
      <alignment horizontal="left" vertical="center"/>
    </xf>
    <xf numFmtId="2" fontId="12" fillId="4" borderId="12" xfId="0" applyNumberFormat="1" applyFont="1" applyFill="1" applyBorder="1" applyAlignment="1">
      <alignment horizontal="center" vertical="center"/>
    </xf>
    <xf numFmtId="0" fontId="19" fillId="2" borderId="0" xfId="0" applyFont="1" applyFill="1" applyBorder="1"/>
    <xf numFmtId="0" fontId="19" fillId="2" borderId="0" xfId="0" applyFont="1" applyFill="1" applyBorder="1" applyAlignment="1">
      <alignment horizontal="left"/>
    </xf>
    <xf numFmtId="0" fontId="23" fillId="2" borderId="0" xfId="0" applyFont="1" applyFill="1" applyBorder="1" applyAlignment="1">
      <alignment horizontal="left" vertical="center"/>
    </xf>
    <xf numFmtId="2" fontId="23" fillId="2" borderId="0" xfId="0" applyNumberFormat="1" applyFont="1" applyFill="1" applyBorder="1" applyAlignment="1">
      <alignment horizontal="left" vertical="center"/>
    </xf>
    <xf numFmtId="0" fontId="24" fillId="2" borderId="0" xfId="0" applyFont="1" applyFill="1" applyBorder="1" applyAlignment="1">
      <alignment horizontal="left" vertical="center"/>
    </xf>
    <xf numFmtId="2" fontId="24" fillId="2" borderId="0" xfId="0" applyNumberFormat="1" applyFont="1" applyFill="1" applyBorder="1" applyAlignment="1">
      <alignment horizontal="left" vertical="center"/>
    </xf>
    <xf numFmtId="0" fontId="23" fillId="2" borderId="0" xfId="0" applyFont="1" applyFill="1" applyBorder="1" applyAlignment="1">
      <alignment horizontal="center" vertical="center"/>
    </xf>
    <xf numFmtId="2" fontId="23" fillId="2" borderId="0" xfId="0" applyNumberFormat="1" applyFont="1" applyFill="1" applyBorder="1" applyAlignment="1">
      <alignment horizontal="center" vertical="center"/>
    </xf>
    <xf numFmtId="2" fontId="24" fillId="2" borderId="0" xfId="0" applyNumberFormat="1" applyFont="1" applyFill="1" applyBorder="1" applyAlignment="1">
      <alignment horizontal="center" vertical="center"/>
    </xf>
    <xf numFmtId="2" fontId="10" fillId="4" borderId="12" xfId="0" applyNumberFormat="1" applyFont="1" applyFill="1" applyBorder="1" applyAlignment="1">
      <alignment horizontal="center" vertical="center"/>
    </xf>
    <xf numFmtId="2" fontId="12" fillId="4" borderId="14" xfId="0" quotePrefix="1" applyNumberFormat="1" applyFont="1" applyFill="1" applyBorder="1" applyAlignment="1">
      <alignment horizontal="center" vertical="center" wrapText="1"/>
    </xf>
    <xf numFmtId="2" fontId="12" fillId="4" borderId="0" xfId="0" applyNumberFormat="1" applyFont="1" applyFill="1" applyBorder="1" applyAlignment="1">
      <alignment horizontal="center" vertical="center" wrapText="1"/>
    </xf>
    <xf numFmtId="2" fontId="12" fillId="4" borderId="14" xfId="0" applyNumberFormat="1" applyFont="1" applyFill="1" applyBorder="1" applyAlignment="1">
      <alignment horizontal="center" vertical="center" wrapText="1"/>
    </xf>
    <xf numFmtId="2" fontId="8" fillId="2" borderId="0" xfId="0" applyNumberFormat="1" applyFont="1" applyFill="1" applyBorder="1" applyAlignment="1">
      <alignment vertical="center"/>
    </xf>
    <xf numFmtId="0" fontId="8" fillId="4" borderId="16" xfId="0" applyFont="1" applyFill="1" applyBorder="1" applyAlignment="1">
      <alignment horizontal="right"/>
    </xf>
    <xf numFmtId="2" fontId="8" fillId="4" borderId="0" xfId="0" applyNumberFormat="1" applyFont="1" applyFill="1" applyAlignment="1">
      <alignment horizontal="right"/>
    </xf>
    <xf numFmtId="0" fontId="26" fillId="2" borderId="0" xfId="0" applyFont="1" applyFill="1" applyAlignment="1">
      <alignment wrapText="1"/>
    </xf>
    <xf numFmtId="2" fontId="15" fillId="3" borderId="14" xfId="0" applyNumberFormat="1" applyFont="1" applyFill="1" applyBorder="1" applyAlignment="1" applyProtection="1">
      <alignment horizontal="left" vertical="center" wrapText="1"/>
      <protection locked="0"/>
    </xf>
    <xf numFmtId="0" fontId="15" fillId="3" borderId="14" xfId="0" applyFont="1" applyFill="1" applyBorder="1" applyAlignment="1" applyProtection="1">
      <alignment horizontal="left" vertical="center"/>
      <protection locked="0"/>
    </xf>
    <xf numFmtId="0" fontId="15" fillId="3" borderId="0" xfId="0" applyFont="1" applyFill="1" applyBorder="1" applyAlignment="1" applyProtection="1">
      <alignment horizontal="left" vertical="center"/>
      <protection locked="0"/>
    </xf>
    <xf numFmtId="0" fontId="12" fillId="3" borderId="15" xfId="0" applyFont="1" applyFill="1" applyBorder="1" applyAlignment="1" applyProtection="1">
      <alignment horizontal="left"/>
      <protection locked="0"/>
    </xf>
    <xf numFmtId="2" fontId="12" fillId="3" borderId="18" xfId="0" applyNumberFormat="1" applyFont="1" applyFill="1" applyBorder="1" applyAlignment="1" applyProtection="1">
      <alignment horizontal="left"/>
      <protection locked="0"/>
    </xf>
    <xf numFmtId="14" fontId="10" fillId="3" borderId="12" xfId="0" applyNumberFormat="1" applyFont="1" applyFill="1" applyBorder="1" applyAlignment="1" applyProtection="1">
      <alignment horizontal="center" vertical="center"/>
      <protection locked="0"/>
    </xf>
    <xf numFmtId="2" fontId="12" fillId="3" borderId="12" xfId="0" applyNumberFormat="1" applyFont="1" applyFill="1" applyBorder="1" applyAlignment="1" applyProtection="1">
      <alignment horizontal="center" vertical="center" wrapText="1"/>
      <protection locked="0"/>
    </xf>
    <xf numFmtId="0" fontId="12" fillId="3" borderId="12"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7" fillId="2" borderId="0" xfId="0" applyFont="1" applyFill="1" applyBorder="1" applyAlignment="1" applyProtection="1">
      <alignment vertical="center" wrapText="1"/>
      <protection locked="0"/>
    </xf>
    <xf numFmtId="0" fontId="12" fillId="3" borderId="17" xfId="0" applyFont="1" applyFill="1" applyBorder="1" applyAlignment="1" applyProtection="1">
      <alignment horizontal="left"/>
      <protection locked="0"/>
    </xf>
    <xf numFmtId="2" fontId="12" fillId="4" borderId="12" xfId="0" applyNumberFormat="1" applyFont="1" applyFill="1" applyBorder="1" applyAlignment="1">
      <alignment horizontal="left"/>
    </xf>
    <xf numFmtId="0" fontId="9" fillId="2" borderId="0"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0" fillId="2" borderId="2" xfId="0" applyFill="1" applyBorder="1"/>
    <xf numFmtId="0" fontId="30" fillId="0" borderId="0" xfId="0" applyFont="1" applyAlignment="1">
      <alignment horizontal="left" vertical="top" indent="2"/>
    </xf>
    <xf numFmtId="0" fontId="12" fillId="2" borderId="11" xfId="0" applyFont="1" applyFill="1" applyBorder="1" applyAlignment="1">
      <alignment horizontal="left" vertical="top" indent="2"/>
    </xf>
    <xf numFmtId="0" fontId="12" fillId="2" borderId="1" xfId="0" applyFont="1" applyFill="1" applyBorder="1" applyAlignment="1">
      <alignment horizontal="left" vertical="top" indent="2"/>
    </xf>
    <xf numFmtId="0" fontId="8" fillId="2" borderId="10" xfId="0" applyFont="1" applyFill="1" applyBorder="1" applyAlignment="1">
      <alignment horizontal="left" vertical="top" indent="2"/>
    </xf>
    <xf numFmtId="0" fontId="30" fillId="0" borderId="0" xfId="0" applyFont="1" applyAlignment="1">
      <alignment horizontal="left" vertical="center" indent="2"/>
    </xf>
    <xf numFmtId="0" fontId="31" fillId="0" borderId="0" xfId="0" applyFont="1" applyAlignment="1">
      <alignment horizontal="left" vertical="top"/>
    </xf>
    <xf numFmtId="2" fontId="12" fillId="5" borderId="5" xfId="0" applyNumberFormat="1" applyFont="1" applyFill="1" applyBorder="1" applyAlignment="1">
      <alignment horizontal="left" vertical="center"/>
    </xf>
    <xf numFmtId="0" fontId="8" fillId="4" borderId="15" xfId="0" applyFont="1" applyFill="1" applyBorder="1" applyAlignment="1">
      <alignment horizontal="right"/>
    </xf>
    <xf numFmtId="0" fontId="9" fillId="5" borderId="1" xfId="0" applyFont="1" applyFill="1" applyBorder="1" applyAlignment="1">
      <alignment horizontal="left" vertical="center" wrapText="1"/>
    </xf>
    <xf numFmtId="0" fontId="0" fillId="2" borderId="10" xfId="0" applyFill="1" applyBorder="1"/>
    <xf numFmtId="0" fontId="12" fillId="2" borderId="10" xfId="0" applyFont="1" applyFill="1" applyBorder="1"/>
    <xf numFmtId="0" fontId="12" fillId="2" borderId="2" xfId="0" applyFont="1" applyFill="1" applyBorder="1"/>
    <xf numFmtId="0" fontId="0" fillId="2" borderId="1" xfId="0" applyFill="1" applyBorder="1"/>
    <xf numFmtId="0" fontId="0" fillId="2" borderId="3" xfId="0" applyFill="1" applyBorder="1"/>
    <xf numFmtId="0" fontId="0" fillId="5" borderId="0" xfId="0" applyFill="1"/>
    <xf numFmtId="0" fontId="0" fillId="5" borderId="2" xfId="0" applyFill="1" applyBorder="1"/>
    <xf numFmtId="0" fontId="12" fillId="5" borderId="7" xfId="0" applyFont="1" applyFill="1" applyBorder="1" applyAlignment="1">
      <alignment horizontal="left" vertical="top" indent="2"/>
    </xf>
    <xf numFmtId="0" fontId="0" fillId="5" borderId="0" xfId="0" applyFill="1" applyBorder="1"/>
    <xf numFmtId="14" fontId="3" fillId="5" borderId="0" xfId="0" applyNumberFormat="1" applyFont="1" applyFill="1" applyBorder="1" applyAlignment="1">
      <alignment vertical="center" wrapText="1"/>
    </xf>
    <xf numFmtId="0" fontId="1" fillId="5" borderId="0" xfId="0" applyFont="1" applyFill="1" applyBorder="1"/>
    <xf numFmtId="0" fontId="3" fillId="5" borderId="0" xfId="0" applyFont="1" applyFill="1" applyBorder="1" applyAlignment="1">
      <alignment vertical="center"/>
    </xf>
    <xf numFmtId="0" fontId="3" fillId="5" borderId="0" xfId="0" applyFont="1" applyFill="1" applyBorder="1" applyAlignment="1">
      <alignment vertical="center" wrapText="1"/>
    </xf>
    <xf numFmtId="0" fontId="37" fillId="2" borderId="0" xfId="0" applyFont="1" applyFill="1" applyBorder="1" applyAlignment="1">
      <alignment horizontal="center" vertical="center"/>
    </xf>
    <xf numFmtId="0" fontId="3" fillId="2" borderId="2" xfId="0" applyFont="1" applyFill="1" applyBorder="1" applyAlignment="1">
      <alignment vertical="center"/>
    </xf>
    <xf numFmtId="14"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0" fillId="2" borderId="11" xfId="0" applyFill="1" applyBorder="1"/>
    <xf numFmtId="0" fontId="16" fillId="2" borderId="14" xfId="0" applyFont="1" applyFill="1" applyBorder="1" applyAlignment="1">
      <alignment vertical="center" wrapText="1"/>
    </xf>
    <xf numFmtId="0" fontId="16" fillId="2" borderId="0" xfId="0" applyFont="1" applyFill="1" applyBorder="1" applyAlignment="1">
      <alignment vertical="center" wrapText="1"/>
    </xf>
    <xf numFmtId="0" fontId="4" fillId="2" borderId="2" xfId="0" applyFont="1" applyFill="1" applyBorder="1" applyAlignment="1">
      <alignment horizontal="left"/>
    </xf>
    <xf numFmtId="0" fontId="3" fillId="2" borderId="2" xfId="0" applyFont="1" applyFill="1" applyBorder="1" applyAlignment="1">
      <alignment horizontal="left" vertical="center"/>
    </xf>
    <xf numFmtId="0" fontId="6" fillId="2" borderId="2" xfId="0" applyFont="1" applyFill="1" applyBorder="1"/>
    <xf numFmtId="0" fontId="18" fillId="0" borderId="2" xfId="0" applyFont="1" applyBorder="1"/>
    <xf numFmtId="0" fontId="19" fillId="2" borderId="2" xfId="0" applyFont="1" applyFill="1" applyBorder="1" applyAlignment="1"/>
    <xf numFmtId="0" fontId="19" fillId="2" borderId="2" xfId="0" applyFont="1" applyFill="1" applyBorder="1"/>
    <xf numFmtId="0" fontId="38" fillId="5" borderId="0" xfId="0" applyFont="1" applyFill="1"/>
    <xf numFmtId="0" fontId="38" fillId="5" borderId="0" xfId="0" applyFont="1" applyFill="1" applyBorder="1"/>
    <xf numFmtId="14" fontId="39" fillId="5" borderId="0" xfId="0" applyNumberFormat="1" applyFont="1" applyFill="1" applyBorder="1" applyAlignment="1">
      <alignment vertical="center" wrapText="1"/>
    </xf>
    <xf numFmtId="0" fontId="39" fillId="5" borderId="0" xfId="0" applyFont="1" applyFill="1" applyBorder="1" applyAlignment="1">
      <alignment vertical="center"/>
    </xf>
    <xf numFmtId="0" fontId="39" fillId="5" borderId="0" xfId="0" applyFont="1" applyFill="1" applyBorder="1" applyAlignment="1">
      <alignment vertical="center" wrapText="1"/>
    </xf>
    <xf numFmtId="0" fontId="38" fillId="5" borderId="2" xfId="0" applyFont="1" applyFill="1" applyBorder="1"/>
    <xf numFmtId="0" fontId="20" fillId="2" borderId="2" xfId="0" applyFont="1" applyFill="1" applyBorder="1"/>
    <xf numFmtId="0" fontId="20" fillId="5" borderId="0" xfId="0" applyFont="1" applyFill="1"/>
    <xf numFmtId="0" fontId="6" fillId="5" borderId="0" xfId="0" applyFont="1" applyFill="1"/>
    <xf numFmtId="0" fontId="5" fillId="2" borderId="2" xfId="0" applyFont="1" applyFill="1" applyBorder="1" applyAlignment="1">
      <alignment horizontal="left"/>
    </xf>
    <xf numFmtId="0" fontId="3" fillId="2" borderId="2" xfId="0" applyFont="1" applyFill="1" applyBorder="1" applyAlignment="1">
      <alignment horizontal="left"/>
    </xf>
    <xf numFmtId="0" fontId="12" fillId="2" borderId="0" xfId="0" applyFont="1" applyFill="1" applyBorder="1" applyAlignment="1">
      <alignment horizontal="center"/>
    </xf>
    <xf numFmtId="0" fontId="5" fillId="5" borderId="0" xfId="0" applyFont="1" applyFill="1" applyBorder="1" applyAlignment="1">
      <alignment horizontal="left"/>
    </xf>
    <xf numFmtId="0" fontId="4" fillId="5" borderId="0" xfId="0" applyFont="1" applyFill="1" applyBorder="1" applyAlignment="1">
      <alignment horizontal="left"/>
    </xf>
    <xf numFmtId="0" fontId="3" fillId="5" borderId="0" xfId="0" applyFont="1" applyFill="1" applyBorder="1" applyAlignment="1">
      <alignment horizontal="left"/>
    </xf>
    <xf numFmtId="0" fontId="3" fillId="5" borderId="0" xfId="0" applyFont="1" applyFill="1" applyBorder="1" applyAlignment="1">
      <alignment horizontal="left" vertical="center"/>
    </xf>
    <xf numFmtId="0" fontId="11" fillId="5" borderId="0" xfId="0" applyFont="1" applyFill="1" applyBorder="1" applyAlignment="1">
      <alignment horizontal="left"/>
    </xf>
    <xf numFmtId="0" fontId="11" fillId="5" borderId="0" xfId="0" applyFont="1" applyFill="1" applyBorder="1" applyAlignment="1">
      <alignment vertical="center"/>
    </xf>
    <xf numFmtId="0" fontId="11" fillId="5" borderId="0" xfId="0" applyFont="1" applyFill="1" applyBorder="1" applyAlignment="1">
      <alignment vertical="center" wrapText="1"/>
    </xf>
    <xf numFmtId="0" fontId="12" fillId="2" borderId="2" xfId="0" applyFont="1" applyFill="1" applyBorder="1" applyAlignment="1">
      <alignment horizontal="left" vertical="center"/>
    </xf>
    <xf numFmtId="0" fontId="12" fillId="2" borderId="1" xfId="0" applyFont="1" applyFill="1" applyBorder="1" applyAlignment="1">
      <alignment horizontal="left" vertical="center"/>
    </xf>
    <xf numFmtId="2" fontId="12" fillId="2" borderId="1" xfId="0" applyNumberFormat="1" applyFont="1" applyFill="1" applyBorder="1" applyAlignment="1">
      <alignment horizontal="left" vertical="center"/>
    </xf>
    <xf numFmtId="0" fontId="12" fillId="2" borderId="1" xfId="0" applyFont="1" applyFill="1" applyBorder="1"/>
    <xf numFmtId="0" fontId="12" fillId="5" borderId="0" xfId="0" applyFont="1" applyFill="1" applyAlignment="1">
      <alignment horizontal="left" vertical="center"/>
    </xf>
    <xf numFmtId="2" fontId="12" fillId="5" borderId="21" xfId="0" applyNumberFormat="1" applyFont="1" applyFill="1" applyBorder="1" applyAlignment="1">
      <alignment horizontal="left" vertical="center"/>
    </xf>
    <xf numFmtId="2" fontId="8" fillId="4" borderId="20" xfId="0" applyNumberFormat="1" applyFont="1" applyFill="1" applyBorder="1" applyAlignment="1">
      <alignment horizontal="right"/>
    </xf>
    <xf numFmtId="2" fontId="12" fillId="4" borderId="0" xfId="0" applyNumberFormat="1" applyFont="1" applyFill="1" applyBorder="1" applyAlignment="1">
      <alignment horizontal="left"/>
    </xf>
    <xf numFmtId="2" fontId="12" fillId="3" borderId="22" xfId="0" applyNumberFormat="1" applyFont="1" applyFill="1" applyBorder="1" applyAlignment="1" applyProtection="1">
      <alignment horizontal="left"/>
      <protection locked="0"/>
    </xf>
    <xf numFmtId="0" fontId="12" fillId="5" borderId="2" xfId="0" applyFont="1" applyFill="1" applyBorder="1" applyAlignment="1">
      <alignment horizontal="left" vertical="center" wrapText="1"/>
    </xf>
    <xf numFmtId="0" fontId="12" fillId="5" borderId="2" xfId="0" applyFont="1" applyFill="1" applyBorder="1" applyAlignment="1" applyProtection="1">
      <alignment horizontal="left" vertical="center"/>
      <protection hidden="1"/>
    </xf>
    <xf numFmtId="2" fontId="10" fillId="5" borderId="5" xfId="0" applyNumberFormat="1" applyFont="1" applyFill="1" applyBorder="1" applyAlignment="1">
      <alignment horizontal="left" vertical="center"/>
    </xf>
    <xf numFmtId="2" fontId="10" fillId="5" borderId="0" xfId="0" applyNumberFormat="1" applyFont="1" applyFill="1" applyBorder="1" applyAlignment="1">
      <alignment horizontal="left" vertical="center"/>
    </xf>
    <xf numFmtId="2" fontId="10" fillId="5" borderId="2" xfId="0" applyNumberFormat="1" applyFont="1" applyFill="1" applyBorder="1" applyAlignment="1">
      <alignment horizontal="left" vertical="center"/>
    </xf>
    <xf numFmtId="2" fontId="10" fillId="2" borderId="0" xfId="0" applyNumberFormat="1" applyFont="1" applyFill="1" applyBorder="1" applyAlignment="1">
      <alignment horizontal="left" vertical="center"/>
    </xf>
    <xf numFmtId="0" fontId="8" fillId="5" borderId="3" xfId="0" applyFont="1" applyFill="1" applyBorder="1" applyAlignment="1">
      <alignment horizontal="left" vertical="center"/>
    </xf>
    <xf numFmtId="0" fontId="8" fillId="2" borderId="23" xfId="0" applyFont="1" applyFill="1" applyBorder="1" applyAlignment="1">
      <alignment horizontal="left" vertical="center" wrapText="1"/>
    </xf>
    <xf numFmtId="2" fontId="8" fillId="4" borderId="0" xfId="0" applyNumberFormat="1" applyFont="1" applyFill="1" applyBorder="1" applyAlignment="1">
      <alignment horizontal="right"/>
    </xf>
    <xf numFmtId="2" fontId="12" fillId="4" borderId="23" xfId="0" applyNumberFormat="1" applyFont="1" applyFill="1" applyBorder="1" applyAlignment="1">
      <alignment horizontal="left"/>
    </xf>
    <xf numFmtId="0" fontId="12" fillId="4" borderId="13" xfId="0" applyFont="1" applyFill="1" applyBorder="1" applyAlignment="1">
      <alignment horizontal="center" vertical="center" wrapText="1"/>
    </xf>
    <xf numFmtId="0" fontId="20" fillId="2" borderId="0" xfId="0" applyFont="1" applyFill="1"/>
    <xf numFmtId="2" fontId="12" fillId="5" borderId="9" xfId="0" applyNumberFormat="1" applyFont="1" applyFill="1" applyBorder="1" applyAlignment="1">
      <alignment horizontal="left" vertical="center"/>
    </xf>
    <xf numFmtId="0" fontId="12" fillId="5" borderId="5" xfId="0" applyFont="1" applyFill="1" applyBorder="1"/>
    <xf numFmtId="2" fontId="12" fillId="5" borderId="5" xfId="0" applyNumberFormat="1" applyFont="1" applyFill="1" applyBorder="1" applyAlignment="1">
      <alignment horizontal="left"/>
    </xf>
    <xf numFmtId="2" fontId="12" fillId="5" borderId="7" xfId="0" applyNumberFormat="1" applyFont="1" applyFill="1" applyBorder="1" applyAlignment="1">
      <alignment horizontal="left" vertical="center"/>
    </xf>
    <xf numFmtId="0" fontId="12" fillId="5" borderId="10" xfId="0" applyFont="1" applyFill="1" applyBorder="1"/>
    <xf numFmtId="2" fontId="12" fillId="5" borderId="10" xfId="0" applyNumberFormat="1" applyFont="1" applyFill="1" applyBorder="1" applyAlignment="1">
      <alignment horizontal="left"/>
    </xf>
    <xf numFmtId="2" fontId="10" fillId="3" borderId="16" xfId="0" applyNumberFormat="1" applyFont="1" applyFill="1" applyBorder="1" applyAlignment="1" applyProtection="1">
      <alignment horizontal="left"/>
      <protection locked="0"/>
    </xf>
    <xf numFmtId="2" fontId="10" fillId="3" borderId="16" xfId="0" applyNumberFormat="1" applyFont="1" applyFill="1" applyBorder="1" applyAlignment="1" applyProtection="1">
      <alignment horizontal="left" vertical="center"/>
      <protection locked="0"/>
    </xf>
    <xf numFmtId="2" fontId="9" fillId="3" borderId="16" xfId="0" applyNumberFormat="1" applyFont="1" applyFill="1" applyBorder="1" applyAlignment="1" applyProtection="1">
      <alignment horizontal="left" vertical="center"/>
      <protection locked="0"/>
    </xf>
    <xf numFmtId="2" fontId="10" fillId="3" borderId="18" xfId="0" applyNumberFormat="1" applyFont="1" applyFill="1" applyBorder="1" applyAlignment="1" applyProtection="1">
      <alignment horizontal="left"/>
      <protection locked="0"/>
    </xf>
    <xf numFmtId="0" fontId="9" fillId="2" borderId="0" xfId="0" applyFont="1" applyFill="1" applyBorder="1" applyAlignment="1">
      <alignment horizontal="left" vertical="center" wrapText="1"/>
    </xf>
    <xf numFmtId="0" fontId="13" fillId="5" borderId="5" xfId="0" applyFont="1" applyFill="1" applyBorder="1" applyAlignment="1">
      <alignment horizontal="left" vertical="center"/>
    </xf>
    <xf numFmtId="2" fontId="13" fillId="5" borderId="5" xfId="0" applyNumberFormat="1" applyFont="1" applyFill="1" applyBorder="1" applyAlignment="1">
      <alignment horizontal="left" vertical="center"/>
    </xf>
    <xf numFmtId="0" fontId="12" fillId="2" borderId="11" xfId="0" applyFont="1" applyFill="1" applyBorder="1"/>
    <xf numFmtId="0" fontId="12" fillId="2" borderId="3" xfId="0" applyFont="1" applyFill="1" applyBorder="1"/>
    <xf numFmtId="0" fontId="0" fillId="5" borderId="15" xfId="0" applyFill="1" applyBorder="1"/>
    <xf numFmtId="0" fontId="12" fillId="2" borderId="10" xfId="0" applyFont="1" applyFill="1" applyBorder="1" applyAlignment="1">
      <alignment horizontal="left" vertical="top" indent="2"/>
    </xf>
    <xf numFmtId="0" fontId="12" fillId="2" borderId="10" xfId="0" applyFont="1" applyFill="1" applyBorder="1" applyAlignment="1">
      <alignment horizontal="left" vertical="top" wrapText="1" indent="2"/>
    </xf>
    <xf numFmtId="0" fontId="12" fillId="5" borderId="0" xfId="0" applyFont="1" applyFill="1" applyAlignment="1">
      <alignment horizontal="left" vertical="top" indent="2"/>
    </xf>
    <xf numFmtId="0" fontId="0" fillId="5" borderId="7" xfId="0" applyFill="1" applyBorder="1"/>
    <xf numFmtId="0" fontId="12" fillId="2" borderId="0" xfId="0" applyFont="1" applyFill="1" applyAlignment="1">
      <alignment horizontal="left" vertical="top" indent="2"/>
    </xf>
    <xf numFmtId="0" fontId="12" fillId="2" borderId="0" xfId="0" applyFont="1" applyFill="1" applyAlignment="1">
      <alignment horizontal="left" vertical="top" wrapText="1" indent="2"/>
    </xf>
    <xf numFmtId="0" fontId="0" fillId="2" borderId="0" xfId="0" applyFill="1" applyAlignment="1">
      <alignment horizontal="left" vertical="top" indent="2"/>
    </xf>
    <xf numFmtId="0" fontId="0" fillId="2" borderId="10" xfId="0" applyFill="1" applyBorder="1" applyAlignment="1">
      <alignment horizontal="left" vertical="top" indent="2"/>
    </xf>
    <xf numFmtId="0" fontId="40" fillId="5" borderId="0" xfId="1" applyFont="1" applyFill="1" applyBorder="1"/>
    <xf numFmtId="0" fontId="40" fillId="5" borderId="0" xfId="1" quotePrefix="1" applyFont="1" applyFill="1" applyBorder="1"/>
    <xf numFmtId="0" fontId="12" fillId="2" borderId="0" xfId="0" applyFont="1" applyFill="1" applyAlignment="1">
      <alignment horizontal="left" vertical="top"/>
    </xf>
    <xf numFmtId="0" fontId="0" fillId="5" borderId="0" xfId="0" applyFill="1" applyAlignment="1">
      <alignment horizontal="left" vertical="top" indent="2"/>
    </xf>
    <xf numFmtId="0" fontId="0" fillId="4" borderId="0" xfId="0" applyFill="1" applyAlignment="1">
      <alignment horizontal="left" vertical="top" indent="2"/>
    </xf>
    <xf numFmtId="0" fontId="0" fillId="3" borderId="0" xfId="0" applyFill="1" applyAlignment="1">
      <alignment horizontal="left" vertical="top" indent="2"/>
    </xf>
    <xf numFmtId="0" fontId="0" fillId="2" borderId="9" xfId="0" applyFill="1" applyBorder="1"/>
    <xf numFmtId="0" fontId="0" fillId="2" borderId="7" xfId="0" applyFill="1" applyBorder="1" applyAlignment="1">
      <alignment horizontal="left" vertical="top" indent="2"/>
    </xf>
    <xf numFmtId="0" fontId="0" fillId="2" borderId="8" xfId="0" applyFill="1" applyBorder="1" applyAlignment="1">
      <alignment horizontal="left" vertical="top" indent="2"/>
    </xf>
    <xf numFmtId="0" fontId="0" fillId="6" borderId="0" xfId="0" applyFill="1"/>
    <xf numFmtId="2" fontId="12" fillId="4" borderId="13" xfId="0" applyNumberFormat="1" applyFont="1" applyFill="1" applyBorder="1" applyAlignment="1">
      <alignment horizontal="left"/>
    </xf>
    <xf numFmtId="0" fontId="8" fillId="2" borderId="16" xfId="0" applyFont="1" applyFill="1" applyBorder="1" applyAlignment="1">
      <alignment horizontal="left" vertical="center" wrapText="1"/>
    </xf>
    <xf numFmtId="2" fontId="12" fillId="3" borderId="15" xfId="0" applyNumberFormat="1" applyFont="1" applyFill="1" applyBorder="1" applyAlignment="1" applyProtection="1">
      <alignment horizontal="left"/>
      <protection locked="0"/>
    </xf>
    <xf numFmtId="0" fontId="12" fillId="3" borderId="19" xfId="0" applyFont="1" applyFill="1" applyBorder="1" applyAlignment="1" applyProtection="1">
      <alignment horizontal="left"/>
      <protection locked="0"/>
    </xf>
    <xf numFmtId="2" fontId="12" fillId="3" borderId="16" xfId="0" applyNumberFormat="1" applyFont="1" applyFill="1" applyBorder="1" applyAlignment="1" applyProtection="1">
      <alignment horizontal="left"/>
      <protection locked="0"/>
    </xf>
    <xf numFmtId="14" fontId="15" fillId="3" borderId="12" xfId="0" applyNumberFormat="1" applyFont="1" applyFill="1" applyBorder="1" applyAlignment="1" applyProtection="1">
      <alignment horizontal="left" vertical="center" wrapText="1"/>
      <protection locked="0"/>
    </xf>
    <xf numFmtId="0" fontId="13" fillId="0" borderId="11" xfId="0" applyFont="1" applyBorder="1" applyAlignment="1">
      <alignment horizontal="left" vertical="top" wrapText="1" indent="2"/>
    </xf>
    <xf numFmtId="0" fontId="13" fillId="0" borderId="1" xfId="0" applyFont="1" applyBorder="1" applyAlignment="1">
      <alignment horizontal="left" vertical="top" wrapText="1" indent="2"/>
    </xf>
    <xf numFmtId="0" fontId="36" fillId="6" borderId="8" xfId="0" applyFont="1" applyFill="1" applyBorder="1" applyAlignment="1">
      <alignment horizontal="left" vertical="center" indent="2"/>
    </xf>
    <xf numFmtId="0" fontId="36" fillId="6" borderId="7" xfId="0" applyFont="1" applyFill="1" applyBorder="1" applyAlignment="1">
      <alignment horizontal="left" vertical="center" indent="2"/>
    </xf>
    <xf numFmtId="0" fontId="36" fillId="6" borderId="9" xfId="0" applyFont="1" applyFill="1" applyBorder="1" applyAlignment="1">
      <alignment horizontal="left" vertical="center" indent="2"/>
    </xf>
    <xf numFmtId="0" fontId="36" fillId="6" borderId="10" xfId="0" applyFont="1" applyFill="1" applyBorder="1" applyAlignment="1">
      <alignment horizontal="left" vertical="center" indent="2"/>
    </xf>
    <xf numFmtId="0" fontId="36" fillId="6" borderId="0" xfId="0" applyFont="1" applyFill="1" applyAlignment="1">
      <alignment horizontal="left" vertical="center" indent="2"/>
    </xf>
    <xf numFmtId="0" fontId="36" fillId="6" borderId="2" xfId="0" applyFont="1" applyFill="1" applyBorder="1" applyAlignment="1">
      <alignment horizontal="left" vertical="center" indent="2"/>
    </xf>
    <xf numFmtId="0" fontId="12" fillId="2" borderId="10" xfId="0" applyFont="1" applyFill="1" applyBorder="1" applyAlignment="1">
      <alignment horizontal="left" wrapText="1" indent="2"/>
    </xf>
    <xf numFmtId="0" fontId="12" fillId="2" borderId="0" xfId="0" applyFont="1" applyFill="1" applyAlignment="1">
      <alignment horizontal="left" wrapText="1" indent="2"/>
    </xf>
    <xf numFmtId="0" fontId="13" fillId="0" borderId="10" xfId="0" applyFont="1" applyBorder="1" applyAlignment="1">
      <alignment horizontal="left" wrapText="1" indent="2"/>
    </xf>
    <xf numFmtId="0" fontId="13" fillId="0" borderId="0" xfId="0" applyFont="1" applyAlignment="1">
      <alignment horizontal="left" wrapText="1" indent="2"/>
    </xf>
    <xf numFmtId="0" fontId="13" fillId="2" borderId="10" xfId="0" applyFont="1" applyFill="1" applyBorder="1" applyAlignment="1">
      <alignment horizontal="left" wrapText="1" indent="2"/>
    </xf>
    <xf numFmtId="0" fontId="13" fillId="2" borderId="0" xfId="0" applyFont="1" applyFill="1" applyAlignment="1">
      <alignment horizontal="left" wrapText="1" indent="2"/>
    </xf>
    <xf numFmtId="0" fontId="33" fillId="6" borderId="0" xfId="0" applyFont="1" applyFill="1" applyAlignment="1">
      <alignment horizontal="left" vertical="center" indent="2"/>
    </xf>
    <xf numFmtId="0" fontId="13" fillId="0" borderId="10" xfId="0" applyFont="1" applyBorder="1" applyAlignment="1">
      <alignment horizontal="left" vertical="top" indent="2"/>
    </xf>
    <xf numFmtId="0" fontId="13" fillId="0" borderId="0" xfId="0" applyFont="1" applyAlignment="1">
      <alignment horizontal="left" vertical="top" indent="2"/>
    </xf>
    <xf numFmtId="0" fontId="13" fillId="0" borderId="0" xfId="0" applyFont="1" applyAlignment="1">
      <alignment horizontal="left" vertical="top" wrapText="1" indent="2"/>
    </xf>
    <xf numFmtId="0" fontId="31" fillId="0" borderId="10" xfId="0" applyFont="1" applyBorder="1" applyAlignment="1">
      <alignment horizontal="left" vertical="top" indent="2"/>
    </xf>
    <xf numFmtId="0" fontId="31" fillId="0" borderId="0" xfId="0" applyFont="1" applyAlignment="1">
      <alignment horizontal="left" vertical="top" indent="2"/>
    </xf>
    <xf numFmtId="0" fontId="12" fillId="2" borderId="10" xfId="0" applyFont="1" applyFill="1" applyBorder="1" applyAlignment="1">
      <alignment horizontal="left" vertical="top" indent="2"/>
    </xf>
    <xf numFmtId="0" fontId="12" fillId="2" borderId="0" xfId="0" applyFont="1" applyFill="1" applyAlignment="1">
      <alignment horizontal="left" vertical="top" indent="2"/>
    </xf>
    <xf numFmtId="0" fontId="13" fillId="2" borderId="0" xfId="0" applyFont="1" applyFill="1" applyAlignment="1">
      <alignment horizontal="left" vertical="top" wrapText="1" indent="2"/>
    </xf>
    <xf numFmtId="0" fontId="8" fillId="2" borderId="10" xfId="0" applyFont="1" applyFill="1" applyBorder="1" applyAlignment="1">
      <alignment horizontal="left" vertical="top" wrapText="1" indent="2"/>
    </xf>
    <xf numFmtId="0" fontId="8" fillId="2" borderId="0" xfId="0" applyFont="1" applyFill="1" applyAlignment="1">
      <alignment horizontal="left" vertical="top" wrapText="1" indent="2"/>
    </xf>
    <xf numFmtId="0" fontId="12" fillId="2" borderId="10" xfId="0" applyFont="1" applyFill="1" applyBorder="1" applyAlignment="1">
      <alignment horizontal="left" vertical="top" wrapText="1" indent="2"/>
    </xf>
    <xf numFmtId="0" fontId="12" fillId="2" borderId="0" xfId="0" applyFont="1" applyFill="1" applyAlignment="1">
      <alignment horizontal="left" vertical="top" wrapText="1" indent="2"/>
    </xf>
    <xf numFmtId="0" fontId="30" fillId="0" borderId="10" xfId="0" applyFont="1" applyBorder="1" applyAlignment="1">
      <alignment horizontal="left" vertical="center" indent="2"/>
    </xf>
    <xf numFmtId="0" fontId="30" fillId="0" borderId="0" xfId="0" applyFont="1" applyAlignment="1">
      <alignment horizontal="left" vertical="center" indent="2"/>
    </xf>
    <xf numFmtId="0" fontId="8" fillId="2" borderId="2" xfId="0" applyFont="1" applyFill="1" applyBorder="1" applyAlignment="1">
      <alignment horizontal="left" vertical="top" wrapText="1" indent="2"/>
    </xf>
    <xf numFmtId="0" fontId="32" fillId="2" borderId="0" xfId="1" applyFont="1" applyFill="1" applyProtection="1">
      <protection locked="0"/>
    </xf>
    <xf numFmtId="0" fontId="32" fillId="0" borderId="0" xfId="1" applyFont="1" applyProtection="1">
      <protection locked="0"/>
    </xf>
    <xf numFmtId="0" fontId="36" fillId="6" borderId="0" xfId="0" applyFont="1" applyFill="1" applyBorder="1" applyAlignment="1">
      <alignment horizontal="left" vertical="center" indent="2"/>
    </xf>
    <xf numFmtId="14" fontId="12" fillId="3" borderId="12" xfId="0" applyNumberFormat="1" applyFont="1" applyFill="1" applyBorder="1" applyAlignment="1" applyProtection="1">
      <alignment horizontal="left" vertical="center" wrapText="1"/>
      <protection locked="0"/>
    </xf>
    <xf numFmtId="0" fontId="12" fillId="3" borderId="14" xfId="0" applyFont="1" applyFill="1" applyBorder="1" applyAlignment="1" applyProtection="1">
      <alignment horizontal="left" vertical="center" wrapText="1"/>
      <protection locked="0"/>
    </xf>
    <xf numFmtId="0" fontId="12" fillId="3" borderId="13" xfId="0" applyFont="1" applyFill="1" applyBorder="1" applyAlignment="1" applyProtection="1">
      <alignment horizontal="left" vertical="center" wrapText="1"/>
      <protection locked="0"/>
    </xf>
    <xf numFmtId="0" fontId="36" fillId="6" borderId="10" xfId="0" applyFont="1" applyFill="1" applyBorder="1" applyAlignment="1">
      <alignment horizontal="left" vertical="center" indent="3"/>
    </xf>
    <xf numFmtId="0" fontId="36" fillId="6" borderId="0" xfId="0" applyFont="1" applyFill="1" applyBorder="1" applyAlignment="1">
      <alignment horizontal="left" vertical="center" indent="3"/>
    </xf>
    <xf numFmtId="0" fontId="36" fillId="6" borderId="2" xfId="0" applyFont="1" applyFill="1" applyBorder="1" applyAlignment="1">
      <alignment horizontal="left" vertical="center" indent="3"/>
    </xf>
    <xf numFmtId="0" fontId="25" fillId="2" borderId="0" xfId="0" applyFont="1" applyFill="1" applyAlignment="1">
      <alignment horizontal="center"/>
    </xf>
    <xf numFmtId="0" fontId="8" fillId="2" borderId="0" xfId="0" applyFont="1" applyFill="1" applyBorder="1" applyAlignment="1">
      <alignment horizontal="center" vertical="center" wrapText="1"/>
    </xf>
    <xf numFmtId="0" fontId="35" fillId="2" borderId="0" xfId="0" applyFont="1" applyFill="1" applyAlignment="1">
      <alignment horizontal="center"/>
    </xf>
    <xf numFmtId="0" fontId="9" fillId="2" borderId="0" xfId="0" applyFont="1" applyFill="1" applyBorder="1" applyAlignment="1">
      <alignment horizontal="left" vertical="center" wrapText="1"/>
    </xf>
    <xf numFmtId="0" fontId="8" fillId="2" borderId="12" xfId="0" applyFont="1" applyFill="1" applyBorder="1" applyAlignment="1">
      <alignment horizontal="left"/>
    </xf>
    <xf numFmtId="0" fontId="9" fillId="2" borderId="14" xfId="0" applyFont="1" applyFill="1" applyBorder="1" applyAlignment="1">
      <alignment horizontal="left" vertical="center" wrapText="1"/>
    </xf>
    <xf numFmtId="0" fontId="36" fillId="6" borderId="0" xfId="0" applyFont="1" applyFill="1" applyAlignment="1">
      <alignment horizontal="left" vertical="center" indent="3"/>
    </xf>
    <xf numFmtId="0" fontId="35" fillId="2" borderId="0" xfId="0" applyFont="1" applyFill="1" applyAlignment="1">
      <alignment horizontal="center" vertical="center"/>
    </xf>
    <xf numFmtId="0" fontId="36" fillId="6" borderId="8" xfId="0" applyFont="1" applyFill="1" applyBorder="1" applyAlignment="1">
      <alignment horizontal="left" vertical="center" indent="3"/>
    </xf>
    <xf numFmtId="0" fontId="36" fillId="6" borderId="7" xfId="0" applyFont="1" applyFill="1" applyBorder="1" applyAlignment="1">
      <alignment horizontal="left" vertical="center" indent="3"/>
    </xf>
    <xf numFmtId="0" fontId="36" fillId="6" borderId="9" xfId="0" applyFont="1" applyFill="1" applyBorder="1" applyAlignment="1">
      <alignment horizontal="left" vertical="center" indent="3"/>
    </xf>
    <xf numFmtId="0" fontId="35" fillId="2" borderId="0" xfId="0" applyFont="1" applyFill="1" applyBorder="1" applyAlignment="1">
      <alignment horizontal="center" vertical="center"/>
    </xf>
    <xf numFmtId="0" fontId="22" fillId="2" borderId="0" xfId="0" applyFont="1" applyFill="1" applyBorder="1" applyAlignment="1">
      <alignment horizontal="center" vertical="top"/>
    </xf>
    <xf numFmtId="0" fontId="8" fillId="2" borderId="0" xfId="0" applyFont="1" applyFill="1" applyBorder="1" applyAlignment="1">
      <alignment horizontal="left" vertical="center" wrapText="1"/>
    </xf>
    <xf numFmtId="2" fontId="17" fillId="2" borderId="0" xfId="0" applyNumberFormat="1" applyFont="1" applyFill="1" applyBorder="1" applyAlignment="1">
      <alignment horizontal="center" vertical="center"/>
    </xf>
    <xf numFmtId="2" fontId="17" fillId="4" borderId="0" xfId="0" applyNumberFormat="1" applyFont="1" applyFill="1" applyBorder="1" applyAlignment="1">
      <alignment horizontal="center" vertical="center"/>
    </xf>
    <xf numFmtId="0" fontId="8" fillId="2" borderId="0" xfId="0" applyFont="1" applyFill="1" applyAlignment="1">
      <alignment horizontal="left" vertical="center" wrapText="1"/>
    </xf>
    <xf numFmtId="2" fontId="17" fillId="4" borderId="0" xfId="0" applyNumberFormat="1" applyFont="1" applyFill="1" applyAlignment="1">
      <alignment horizontal="center" vertical="center"/>
    </xf>
  </cellXfs>
  <cellStyles count="2">
    <cellStyle name="Hyperlink" xfId="1" builtinId="8"/>
    <cellStyle name="Normal" xfId="0" builtinId="0"/>
  </cellStyles>
  <dxfs count="10">
    <dxf>
      <fill>
        <patternFill>
          <bgColor rgb="FFF7E8BE"/>
        </patternFill>
      </fill>
    </dxf>
    <dxf>
      <fill>
        <patternFill>
          <bgColor rgb="FFF7E8BE"/>
        </patternFill>
      </fill>
    </dxf>
    <dxf>
      <fill>
        <patternFill>
          <bgColor rgb="FFF7E8BE"/>
        </patternFill>
      </fill>
    </dxf>
    <dxf>
      <fill>
        <patternFill>
          <fgColor rgb="FFF7E8BE"/>
          <bgColor rgb="FFF7E8BE"/>
        </patternFill>
      </fill>
    </dxf>
    <dxf>
      <fill>
        <patternFill>
          <fgColor rgb="FFF7E8BE"/>
          <bgColor rgb="FFF7E8BE"/>
        </patternFill>
      </fill>
    </dxf>
    <dxf>
      <fill>
        <patternFill patternType="solid">
          <fgColor rgb="FFF7E8BE"/>
          <bgColor rgb="FFF7E8BE"/>
        </patternFill>
      </fill>
    </dxf>
    <dxf>
      <fill>
        <patternFill>
          <bgColor theme="0"/>
        </patternFill>
      </fill>
    </dxf>
    <dxf>
      <font>
        <b val="0"/>
        <i val="0"/>
        <strike val="0"/>
        <color auto="1"/>
      </font>
      <fill>
        <patternFill>
          <fgColor rgb="FFF7E8BE"/>
          <bgColor rgb="FFF7E8BE"/>
        </patternFill>
      </fill>
    </dxf>
    <dxf>
      <numFmt numFmtId="0" formatCode="General"/>
      <fill>
        <patternFill>
          <bgColor rgb="FF9DD3BE"/>
        </patternFill>
      </fill>
      <border>
        <left/>
        <right/>
        <top/>
        <bottom/>
      </border>
    </dxf>
    <dxf>
      <font>
        <strike val="0"/>
        <color theme="0"/>
      </font>
    </dxf>
  </dxfs>
  <tableStyles count="0" defaultTableStyle="TableStyleMedium2" defaultPivotStyle="PivotStyleLight16"/>
  <colors>
    <mruColors>
      <color rgb="FF449669"/>
      <color rgb="FFF7E8BE"/>
      <color rgb="FF9DD3BE"/>
      <color rgb="FFAAC7EE"/>
      <color rgb="FFF3EEDD"/>
      <color rgb="FF9DDBBE"/>
      <color rgb="FFC5C5C5"/>
      <color rgb="FFC5C1C7"/>
      <color rgb="FFE0CBFD"/>
      <color rgb="FFFECE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ee.ricardo.com/" TargetMode="External"/><Relationship Id="rId7" Type="http://schemas.openxmlformats.org/officeDocument/2006/relationships/hyperlink" Target="#'River Lugg and Wye SAC'!A1"/><Relationship Id="rId2" Type="http://schemas.openxmlformats.org/officeDocument/2006/relationships/hyperlink" Target="http://www.geograph.org.uk/photo/948308" TargetMode="External"/><Relationship Id="rId1" Type="http://schemas.openxmlformats.org/officeDocument/2006/relationships/image" Target="../media/image1.jpg"/><Relationship Id="rId6" Type="http://schemas.openxmlformats.org/officeDocument/2006/relationships/image" Target="../media/image3.png"/><Relationship Id="rId5" Type="http://schemas.openxmlformats.org/officeDocument/2006/relationships/hyperlink" Target="https://www.gov.uk/government/organisations/natural-england"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Stage 1'!A1"/><Relationship Id="rId7" Type="http://schemas.openxmlformats.org/officeDocument/2006/relationships/hyperlink" Target="#'Stage 2'!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9.png"/><Relationship Id="rId5" Type="http://schemas.openxmlformats.org/officeDocument/2006/relationships/hyperlink" Target="#'Stage 3'!A1"/><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hyperlink" Target="#'Stage 4'!A1"/></Relationships>
</file>

<file path=xl/drawings/_rels/drawing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Stage 3'!A1"/><Relationship Id="rId7" Type="http://schemas.openxmlformats.org/officeDocument/2006/relationships/hyperlink" Target="#'Stage 4'!A1"/><Relationship Id="rId2" Type="http://schemas.openxmlformats.org/officeDocument/2006/relationships/image" Target="../media/image8.png"/><Relationship Id="rId1" Type="http://schemas.openxmlformats.org/officeDocument/2006/relationships/hyperlink" Target="#'Stage 1'!A1"/><Relationship Id="rId6" Type="http://schemas.openxmlformats.org/officeDocument/2006/relationships/image" Target="../media/image10.png"/><Relationship Id="rId5" Type="http://schemas.openxmlformats.org/officeDocument/2006/relationships/hyperlink" Target="#'Stage 2'!A1"/><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11</xdr:col>
      <xdr:colOff>342900</xdr:colOff>
      <xdr:row>1</xdr:row>
      <xdr:rowOff>180975</xdr:rowOff>
    </xdr:from>
    <xdr:to>
      <xdr:col>19</xdr:col>
      <xdr:colOff>127000</xdr:colOff>
      <xdr:row>10</xdr:row>
      <xdr:rowOff>219075</xdr:rowOff>
    </xdr:to>
    <xdr:pic>
      <xdr:nvPicPr>
        <xdr:cNvPr id="3" name="Picture 2">
          <a:extLst>
            <a:ext uri="{FF2B5EF4-FFF2-40B4-BE49-F238E27FC236}">
              <a16:creationId xmlns:a16="http://schemas.microsoft.com/office/drawing/2014/main" id="{62D230C3-FE19-46CB-8813-82B8FCA979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837473B0-CC2E-450A-ABE3-18F120FF3D39}">
              <a1611:picAttrSrcUrl xmlns:a1611="http://schemas.microsoft.com/office/drawing/2016/11/main" xmlns="" r:id="rId2"/>
            </a:ext>
          </a:extLst>
        </a:blip>
        <a:srcRect/>
        <a:stretch/>
      </xdr:blipFill>
      <xdr:spPr>
        <a:xfrm>
          <a:off x="4533900" y="542925"/>
          <a:ext cx="4394200" cy="3295650"/>
        </a:xfrm>
        <a:prstGeom prst="rect">
          <a:avLst/>
        </a:prstGeom>
        <a:effectLst>
          <a:outerShdw blurRad="63500" sx="102000" sy="102000" algn="ctr" rotWithShape="0">
            <a:prstClr val="black">
              <a:alpha val="40000"/>
            </a:prstClr>
          </a:outerShdw>
        </a:effectLst>
      </xdr:spPr>
    </xdr:pic>
    <xdr:clientData/>
  </xdr:twoCellAnchor>
  <xdr:twoCellAnchor editAs="oneCell">
    <xdr:from>
      <xdr:col>3</xdr:col>
      <xdr:colOff>0</xdr:colOff>
      <xdr:row>6</xdr:row>
      <xdr:rowOff>0</xdr:rowOff>
    </xdr:from>
    <xdr:to>
      <xdr:col>3</xdr:col>
      <xdr:colOff>304800</xdr:colOff>
      <xdr:row>6</xdr:row>
      <xdr:rowOff>304800</xdr:rowOff>
    </xdr:to>
    <xdr:sp macro="" textlink="">
      <xdr:nvSpPr>
        <xdr:cNvPr id="6146" name="AutoShape 2">
          <a:extLst>
            <a:ext uri="{FF2B5EF4-FFF2-40B4-BE49-F238E27FC236}">
              <a16:creationId xmlns:a16="http://schemas.microsoft.com/office/drawing/2014/main" id="{F3FA525F-6FDB-4BEA-9A2F-1AB579041DD2}"/>
            </a:ext>
          </a:extLst>
        </xdr:cNvPr>
        <xdr:cNvSpPr>
          <a:spLocks noChangeAspect="1" noChangeArrowheads="1"/>
        </xdr:cNvSpPr>
      </xdr:nvSpPr>
      <xdr:spPr bwMode="auto">
        <a:xfrm>
          <a:off x="182880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38100</xdr:colOff>
      <xdr:row>1</xdr:row>
      <xdr:rowOff>152400</xdr:rowOff>
    </xdr:from>
    <xdr:to>
      <xdr:col>10</xdr:col>
      <xdr:colOff>346496</xdr:colOff>
      <xdr:row>4</xdr:row>
      <xdr:rowOff>275931</xdr:rowOff>
    </xdr:to>
    <xdr:pic>
      <xdr:nvPicPr>
        <xdr:cNvPr id="7" name="Picture 6">
          <a:hlinkClick xmlns:r="http://schemas.openxmlformats.org/officeDocument/2006/relationships" r:id="rId3"/>
          <a:extLst>
            <a:ext uri="{FF2B5EF4-FFF2-40B4-BE49-F238E27FC236}">
              <a16:creationId xmlns:a16="http://schemas.microsoft.com/office/drawing/2014/main" id="{A94DD4AD-3EEA-416C-B2EF-2E02AD1905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24100" y="514350"/>
          <a:ext cx="1832396" cy="1209381"/>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180976</xdr:colOff>
      <xdr:row>1</xdr:row>
      <xdr:rowOff>180975</xdr:rowOff>
    </xdr:from>
    <xdr:to>
      <xdr:col>4</xdr:col>
      <xdr:colOff>180975</xdr:colOff>
      <xdr:row>4</xdr:row>
      <xdr:rowOff>240510</xdr:rowOff>
    </xdr:to>
    <xdr:pic>
      <xdr:nvPicPr>
        <xdr:cNvPr id="10" name="Picture 9">
          <a:hlinkClick xmlns:r="http://schemas.openxmlformats.org/officeDocument/2006/relationships" r:id="rId5"/>
          <a:extLst>
            <a:ext uri="{FF2B5EF4-FFF2-40B4-BE49-F238E27FC236}">
              <a16:creationId xmlns:a16="http://schemas.microsoft.com/office/drawing/2014/main" id="{E2204205-FAF5-4B6B-A86F-01A92D2D6BB3}"/>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333" t="2000" r="23445" b="2000"/>
        <a:stretch/>
      </xdr:blipFill>
      <xdr:spPr bwMode="auto">
        <a:xfrm>
          <a:off x="561976" y="542925"/>
          <a:ext cx="1142999" cy="1145385"/>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200024</xdr:colOff>
      <xdr:row>5</xdr:row>
      <xdr:rowOff>133351</xdr:rowOff>
    </xdr:from>
    <xdr:to>
      <xdr:col>11</xdr:col>
      <xdr:colOff>76199</xdr:colOff>
      <xdr:row>7</xdr:row>
      <xdr:rowOff>76200</xdr:rowOff>
    </xdr:to>
    <xdr:sp macro="" textlink="">
      <xdr:nvSpPr>
        <xdr:cNvPr id="8" name="TextBox 7">
          <a:extLst>
            <a:ext uri="{FF2B5EF4-FFF2-40B4-BE49-F238E27FC236}">
              <a16:creationId xmlns:a16="http://schemas.microsoft.com/office/drawing/2014/main" id="{2BC5E90D-F7DB-474F-BF74-1B4BF980360F}"/>
            </a:ext>
          </a:extLst>
        </xdr:cNvPr>
        <xdr:cNvSpPr txBox="1"/>
      </xdr:nvSpPr>
      <xdr:spPr>
        <a:xfrm>
          <a:off x="581024" y="1943101"/>
          <a:ext cx="3686175" cy="66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latin typeface="Century Gothic" panose="020B0502020202020204" pitchFamily="34" charset="0"/>
              <a:ea typeface="Segoe UI" panose="020B0502040204020203" pitchFamily="34" charset="0"/>
              <a:cs typeface="Segoe UI" panose="020B0502040204020203" pitchFamily="34" charset="0"/>
            </a:rPr>
            <a:t>Nutrient Neutrality Budget Calculator </a:t>
          </a: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3</xdr:col>
      <xdr:colOff>247649</xdr:colOff>
      <xdr:row>8</xdr:row>
      <xdr:rowOff>314326</xdr:rowOff>
    </xdr:from>
    <xdr:to>
      <xdr:col>9</xdr:col>
      <xdr:colOff>28575</xdr:colOff>
      <xdr:row>11</xdr:row>
      <xdr:rowOff>57150</xdr:rowOff>
    </xdr:to>
    <xdr:sp macro="" textlink="">
      <xdr:nvSpPr>
        <xdr:cNvPr id="16" name="TextBox 15">
          <a:hlinkClick xmlns:r="http://schemas.openxmlformats.org/officeDocument/2006/relationships" r:id="rId7"/>
          <a:extLst>
            <a:ext uri="{FF2B5EF4-FFF2-40B4-BE49-F238E27FC236}">
              <a16:creationId xmlns:a16="http://schemas.microsoft.com/office/drawing/2014/main" id="{DA266339-9600-4E62-B26B-3BF11ACB0CB9}"/>
            </a:ext>
          </a:extLst>
        </xdr:cNvPr>
        <xdr:cNvSpPr txBox="1"/>
      </xdr:nvSpPr>
      <xdr:spPr>
        <a:xfrm>
          <a:off x="1390649" y="3209926"/>
          <a:ext cx="2066926" cy="695324"/>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solidFill>
                <a:srgbClr val="449669"/>
              </a:solidFill>
              <a:effectLst/>
              <a:latin typeface="Century Gothic" panose="020B0502020202020204" pitchFamily="34" charset="0"/>
              <a:ea typeface="+mn-ea"/>
              <a:cs typeface="+mn-cs"/>
            </a:rPr>
            <a:t>River Lugg and Wye SAC</a:t>
          </a:r>
        </a:p>
        <a:p>
          <a:pPr algn="ctr"/>
          <a:r>
            <a:rPr lang="en-GB" sz="1800" b="1">
              <a:solidFill>
                <a:srgbClr val="449669"/>
              </a:solidFill>
              <a:effectLst/>
              <a:latin typeface="+mn-lt"/>
              <a:ea typeface="+mn-ea"/>
              <a:cs typeface="+mn-cs"/>
            </a:rPr>
            <a:t> </a:t>
          </a:r>
          <a:endParaRPr lang="en-GB" sz="1800" b="1">
            <a:solidFill>
              <a:srgbClr val="449669"/>
            </a:solidFill>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2</xdr:col>
      <xdr:colOff>209550</xdr:colOff>
      <xdr:row>5</xdr:row>
      <xdr:rowOff>66675</xdr:rowOff>
    </xdr:from>
    <xdr:to>
      <xdr:col>10</xdr:col>
      <xdr:colOff>57150</xdr:colOff>
      <xdr:row>5</xdr:row>
      <xdr:rowOff>66675</xdr:rowOff>
    </xdr:to>
    <xdr:cxnSp macro="">
      <xdr:nvCxnSpPr>
        <xdr:cNvPr id="14" name="Straight Connector 13">
          <a:extLst>
            <a:ext uri="{FF2B5EF4-FFF2-40B4-BE49-F238E27FC236}">
              <a16:creationId xmlns:a16="http://schemas.microsoft.com/office/drawing/2014/main" id="{FF16E9BF-5BA5-45AD-84A2-D9613662D088}"/>
            </a:ext>
          </a:extLst>
        </xdr:cNvPr>
        <xdr:cNvCxnSpPr/>
      </xdr:nvCxnSpPr>
      <xdr:spPr>
        <a:xfrm>
          <a:off x="971550" y="18764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219075</xdr:colOff>
      <xdr:row>11</xdr:row>
      <xdr:rowOff>238125</xdr:rowOff>
    </xdr:from>
    <xdr:to>
      <xdr:col>10</xdr:col>
      <xdr:colOff>66675</xdr:colOff>
      <xdr:row>11</xdr:row>
      <xdr:rowOff>238125</xdr:rowOff>
    </xdr:to>
    <xdr:cxnSp macro="">
      <xdr:nvCxnSpPr>
        <xdr:cNvPr id="19" name="Straight Connector 18">
          <a:extLst>
            <a:ext uri="{FF2B5EF4-FFF2-40B4-BE49-F238E27FC236}">
              <a16:creationId xmlns:a16="http://schemas.microsoft.com/office/drawing/2014/main" id="{3FC5B5CB-450A-4E2A-89F6-BD0FC229810C}"/>
            </a:ext>
          </a:extLst>
        </xdr:cNvPr>
        <xdr:cNvCxnSpPr/>
      </xdr:nvCxnSpPr>
      <xdr:spPr>
        <a:xfrm>
          <a:off x="981075" y="4086225"/>
          <a:ext cx="2895600"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171450</xdr:colOff>
      <xdr:row>7</xdr:row>
      <xdr:rowOff>76201</xdr:rowOff>
    </xdr:from>
    <xdr:to>
      <xdr:col>10</xdr:col>
      <xdr:colOff>104775</xdr:colOff>
      <xdr:row>9</xdr:row>
      <xdr:rowOff>9525</xdr:rowOff>
    </xdr:to>
    <xdr:sp macro="" textlink="">
      <xdr:nvSpPr>
        <xdr:cNvPr id="20" name="TextBox 19">
          <a:extLst>
            <a:ext uri="{FF2B5EF4-FFF2-40B4-BE49-F238E27FC236}">
              <a16:creationId xmlns:a16="http://schemas.microsoft.com/office/drawing/2014/main" id="{19D50B77-7D40-4832-A893-F919EAE1C2A1}"/>
            </a:ext>
          </a:extLst>
        </xdr:cNvPr>
        <xdr:cNvSpPr txBox="1"/>
      </xdr:nvSpPr>
      <xdr:spPr>
        <a:xfrm>
          <a:off x="933450" y="2609851"/>
          <a:ext cx="2981325" cy="65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a</a:t>
          </a:r>
          <a:r>
            <a:rPr lang="en-GB" sz="1200" b="1" baseline="0">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rPr>
            <a:t> tool for assessing the nutrient loading to a European Designated Site</a:t>
          </a:r>
          <a:endParaRPr lang="en-GB" sz="1200" b="1">
            <a:solidFill>
              <a:schemeClr val="bg2">
                <a:lumMod val="50000"/>
              </a:schemeClr>
            </a:solidFill>
            <a:latin typeface="Arial" panose="020B0604020202020204" pitchFamily="34" charset="0"/>
            <a:ea typeface="Segoe UI" panose="020B0502040204020203" pitchFamily="34" charset="0"/>
            <a:cs typeface="Arial" panose="020B0604020202020204"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273842</xdr:colOff>
      <xdr:row>9</xdr:row>
      <xdr:rowOff>0</xdr:rowOff>
    </xdr:from>
    <xdr:to>
      <xdr:col>12</xdr:col>
      <xdr:colOff>133349</xdr:colOff>
      <xdr:row>31</xdr:row>
      <xdr:rowOff>97185</xdr:rowOff>
    </xdr:to>
    <xdr:pic>
      <xdr:nvPicPr>
        <xdr:cNvPr id="2" name="Picture 1" descr="Diagram&#10;&#10;Description automatically generated">
          <a:extLst>
            <a:ext uri="{FF2B5EF4-FFF2-40B4-BE49-F238E27FC236}">
              <a16:creationId xmlns:a16="http://schemas.microsoft.com/office/drawing/2014/main" id="{FFCC7F19-C31F-41C8-8DC0-608C0FE5E9A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2"/>
        <a:stretch/>
      </xdr:blipFill>
      <xdr:spPr>
        <a:xfrm>
          <a:off x="915192" y="2698750"/>
          <a:ext cx="6876257" cy="4078635"/>
        </a:xfrm>
        <a:prstGeom prst="rect">
          <a:avLst/>
        </a:prstGeom>
      </xdr:spPr>
    </xdr:pic>
    <xdr:clientData/>
  </xdr:twoCellAnchor>
  <xdr:twoCellAnchor>
    <xdr:from>
      <xdr:col>1</xdr:col>
      <xdr:colOff>107154</xdr:colOff>
      <xdr:row>9</xdr:row>
      <xdr:rowOff>71428</xdr:rowOff>
    </xdr:from>
    <xdr:to>
      <xdr:col>2</xdr:col>
      <xdr:colOff>288129</xdr:colOff>
      <xdr:row>12</xdr:row>
      <xdr:rowOff>23803</xdr:rowOff>
    </xdr:to>
    <xdr:sp macro="" textlink="">
      <xdr:nvSpPr>
        <xdr:cNvPr id="3" name="TextBox 2">
          <a:extLst>
            <a:ext uri="{FF2B5EF4-FFF2-40B4-BE49-F238E27FC236}">
              <a16:creationId xmlns:a16="http://schemas.microsoft.com/office/drawing/2014/main" id="{A5C48281-BA10-439D-BA20-1B2F4FF3E37E}"/>
            </a:ext>
          </a:extLst>
        </xdr:cNvPr>
        <xdr:cNvSpPr txBox="1"/>
      </xdr:nvSpPr>
      <xdr:spPr>
        <a:xfrm>
          <a:off x="748504" y="2770178"/>
          <a:ext cx="822325"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Figure 1:</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48338</xdr:colOff>
      <xdr:row>4</xdr:row>
      <xdr:rowOff>2212</xdr:rowOff>
    </xdr:from>
    <xdr:to>
      <xdr:col>33</xdr:col>
      <xdr:colOff>596900</xdr:colOff>
      <xdr:row>23</xdr:row>
      <xdr:rowOff>1986</xdr:rowOff>
    </xdr:to>
    <xdr:pic>
      <xdr:nvPicPr>
        <xdr:cNvPr id="2" name="Picture 1">
          <a:extLst>
            <a:ext uri="{FF2B5EF4-FFF2-40B4-BE49-F238E27FC236}">
              <a16:creationId xmlns:a16="http://schemas.microsoft.com/office/drawing/2014/main" id="{BF37A571-B646-441C-A98B-35CDD8705C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92263" y="754687"/>
          <a:ext cx="9425862" cy="6562499"/>
        </a:xfrm>
        <a:prstGeom prst="rect">
          <a:avLst/>
        </a:prstGeom>
        <a:ln w="38100">
          <a:solidFill>
            <a:srgbClr val="449669"/>
          </a:solid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373254</xdr:colOff>
      <xdr:row>66</xdr:row>
      <xdr:rowOff>99703</xdr:rowOff>
    </xdr:from>
    <xdr:ext cx="7938897" cy="1794678"/>
    <xdr:pic>
      <xdr:nvPicPr>
        <xdr:cNvPr id="10" name="Picture 9">
          <a:extLst>
            <a:ext uri="{FF2B5EF4-FFF2-40B4-BE49-F238E27FC236}">
              <a16:creationId xmlns:a16="http://schemas.microsoft.com/office/drawing/2014/main" id="{F563F03F-29D4-4BFE-A46C-B7829F1C3D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3254" y="12253603"/>
          <a:ext cx="7938897" cy="1794678"/>
        </a:xfrm>
        <a:prstGeom prst="rect">
          <a:avLst/>
        </a:prstGeom>
      </xdr:spPr>
    </xdr:pic>
    <xdr:clientData/>
  </xdr:oneCellAnchor>
  <xdr:oneCellAnchor>
    <xdr:from>
      <xdr:col>2</xdr:col>
      <xdr:colOff>561977</xdr:colOff>
      <xdr:row>27</xdr:row>
      <xdr:rowOff>104779</xdr:rowOff>
    </xdr:from>
    <xdr:ext cx="5407329" cy="1714496"/>
    <xdr:pic>
      <xdr:nvPicPr>
        <xdr:cNvPr id="11" name="Picture 10">
          <a:extLst>
            <a:ext uri="{FF2B5EF4-FFF2-40B4-BE49-F238E27FC236}">
              <a16:creationId xmlns:a16="http://schemas.microsoft.com/office/drawing/2014/main" id="{DE33DD29-9A8D-42CE-8395-C2D37C837E82}"/>
            </a:ext>
          </a:extLst>
        </xdr:cNvPr>
        <xdr:cNvPicPr>
          <a:picLocks noChangeAspect="1"/>
        </xdr:cNvPicPr>
      </xdr:nvPicPr>
      <xdr:blipFill rotWithShape="1">
        <a:blip xmlns:r="http://schemas.openxmlformats.org/officeDocument/2006/relationships" r:embed="rId2"/>
        <a:srcRect l="51428" t="38163" r="34591" b="44722"/>
        <a:stretch/>
      </xdr:blipFill>
      <xdr:spPr>
        <a:xfrm>
          <a:off x="1844677" y="5076829"/>
          <a:ext cx="5407329" cy="1714496"/>
        </a:xfrm>
        <a:prstGeom prst="rect">
          <a:avLst/>
        </a:prstGeom>
      </xdr:spPr>
    </xdr:pic>
    <xdr:clientData/>
  </xdr:oneCellAnchor>
  <xdr:twoCellAnchor>
    <xdr:from>
      <xdr:col>3</xdr:col>
      <xdr:colOff>88541</xdr:colOff>
      <xdr:row>14</xdr:row>
      <xdr:rowOff>50399</xdr:rowOff>
    </xdr:from>
    <xdr:to>
      <xdr:col>4</xdr:col>
      <xdr:colOff>555285</xdr:colOff>
      <xdr:row>18</xdr:row>
      <xdr:rowOff>24745</xdr:rowOff>
    </xdr:to>
    <xdr:sp macro="" textlink="">
      <xdr:nvSpPr>
        <xdr:cNvPr id="15" name="TextBox 7">
          <a:extLst>
            <a:ext uri="{FF2B5EF4-FFF2-40B4-BE49-F238E27FC236}">
              <a16:creationId xmlns:a16="http://schemas.microsoft.com/office/drawing/2014/main" id="{6E4D72FA-EAD8-48A1-98C0-AD7B4C372789}"/>
            </a:ext>
          </a:extLst>
        </xdr:cNvPr>
        <xdr:cNvSpPr txBox="1"/>
      </xdr:nvSpPr>
      <xdr:spPr>
        <a:xfrm>
          <a:off x="2031641" y="2641199"/>
          <a:ext cx="1076344"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5</xdr:col>
      <xdr:colOff>64395</xdr:colOff>
      <xdr:row>14</xdr:row>
      <xdr:rowOff>40874</xdr:rowOff>
    </xdr:from>
    <xdr:to>
      <xdr:col>6</xdr:col>
      <xdr:colOff>532605</xdr:colOff>
      <xdr:row>18</xdr:row>
      <xdr:rowOff>15220</xdr:rowOff>
    </xdr:to>
    <xdr:sp macro="" textlink="">
      <xdr:nvSpPr>
        <xdr:cNvPr id="16" name="TextBox 14">
          <a:extLst>
            <a:ext uri="{FF2B5EF4-FFF2-40B4-BE49-F238E27FC236}">
              <a16:creationId xmlns:a16="http://schemas.microsoft.com/office/drawing/2014/main" id="{07475E05-8D65-458E-B205-B469411BA502}"/>
            </a:ext>
          </a:extLst>
        </xdr:cNvPr>
        <xdr:cNvSpPr txBox="1"/>
      </xdr:nvSpPr>
      <xdr:spPr>
        <a:xfrm>
          <a:off x="3226695" y="26316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7</xdr:col>
      <xdr:colOff>53438</xdr:colOff>
      <xdr:row>14</xdr:row>
      <xdr:rowOff>40874</xdr:rowOff>
    </xdr:from>
    <xdr:to>
      <xdr:col>8</xdr:col>
      <xdr:colOff>520183</xdr:colOff>
      <xdr:row>18</xdr:row>
      <xdr:rowOff>15220</xdr:rowOff>
    </xdr:to>
    <xdr:sp macro="" textlink="">
      <xdr:nvSpPr>
        <xdr:cNvPr id="17" name="TextBox 15">
          <a:extLst>
            <a:ext uri="{FF2B5EF4-FFF2-40B4-BE49-F238E27FC236}">
              <a16:creationId xmlns:a16="http://schemas.microsoft.com/office/drawing/2014/main" id="{D3062DB2-8C6F-4ECF-844A-6480289F5C32}"/>
            </a:ext>
          </a:extLst>
        </xdr:cNvPr>
        <xdr:cNvSpPr txBox="1"/>
      </xdr:nvSpPr>
      <xdr:spPr>
        <a:xfrm>
          <a:off x="4434938" y="26316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9</xdr:col>
      <xdr:colOff>38813</xdr:colOff>
      <xdr:row>14</xdr:row>
      <xdr:rowOff>50399</xdr:rowOff>
    </xdr:from>
    <xdr:to>
      <xdr:col>10</xdr:col>
      <xdr:colOff>505558</xdr:colOff>
      <xdr:row>17</xdr:row>
      <xdr:rowOff>51675</xdr:rowOff>
    </xdr:to>
    <xdr:sp macro="" textlink="">
      <xdr:nvSpPr>
        <xdr:cNvPr id="18" name="TextBox 16">
          <a:extLst>
            <a:ext uri="{FF2B5EF4-FFF2-40B4-BE49-F238E27FC236}">
              <a16:creationId xmlns:a16="http://schemas.microsoft.com/office/drawing/2014/main" id="{492B8F8C-73D4-4A79-A6D8-50B837F9EB8F}"/>
            </a:ext>
          </a:extLst>
        </xdr:cNvPr>
        <xdr:cNvSpPr txBox="1"/>
      </xdr:nvSpPr>
      <xdr:spPr>
        <a:xfrm>
          <a:off x="5639513" y="2641199"/>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2</xdr:col>
      <xdr:colOff>714375</xdr:colOff>
      <xdr:row>8</xdr:row>
      <xdr:rowOff>171451</xdr:rowOff>
    </xdr:from>
    <xdr:to>
      <xdr:col>5</xdr:col>
      <xdr:colOff>57151</xdr:colOff>
      <xdr:row>14</xdr:row>
      <xdr:rowOff>82788</xdr:rowOff>
    </xdr:to>
    <xdr:pic>
      <xdr:nvPicPr>
        <xdr:cNvPr id="19" name="Picture 18">
          <a:hlinkClick xmlns:r="http://schemas.openxmlformats.org/officeDocument/2006/relationships" r:id="rId3"/>
          <a:extLst>
            <a:ext uri="{FF2B5EF4-FFF2-40B4-BE49-F238E27FC236}">
              <a16:creationId xmlns:a16="http://schemas.microsoft.com/office/drawing/2014/main" id="{24FD4165-3653-4371-9AE4-F222483FFA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33575" y="1619251"/>
          <a:ext cx="1285876" cy="1054337"/>
        </a:xfrm>
        <a:prstGeom prst="rect">
          <a:avLst/>
        </a:prstGeom>
      </xdr:spPr>
    </xdr:pic>
    <xdr:clientData/>
  </xdr:twoCellAnchor>
  <xdr:twoCellAnchor editAs="oneCell">
    <xdr:from>
      <xdr:col>6</xdr:col>
      <xdr:colOff>559868</xdr:colOff>
      <xdr:row>8</xdr:row>
      <xdr:rowOff>169051</xdr:rowOff>
    </xdr:from>
    <xdr:to>
      <xdr:col>9</xdr:col>
      <xdr:colOff>26763</xdr:colOff>
      <xdr:row>14</xdr:row>
      <xdr:rowOff>77281</xdr:rowOff>
    </xdr:to>
    <xdr:pic>
      <xdr:nvPicPr>
        <xdr:cNvPr id="20" name="Picture 19">
          <a:hlinkClick xmlns:r="http://schemas.openxmlformats.org/officeDocument/2006/relationships" r:id="rId5"/>
          <a:extLst>
            <a:ext uri="{FF2B5EF4-FFF2-40B4-BE49-F238E27FC236}">
              <a16:creationId xmlns:a16="http://schemas.microsoft.com/office/drawing/2014/main" id="{58D3B386-D6E7-4D0E-B4EC-C00A336D35C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31768" y="1616851"/>
          <a:ext cx="1295695" cy="1051230"/>
        </a:xfrm>
        <a:prstGeom prst="rect">
          <a:avLst/>
        </a:prstGeom>
      </xdr:spPr>
    </xdr:pic>
    <xdr:clientData/>
  </xdr:twoCellAnchor>
  <xdr:twoCellAnchor editAs="oneCell">
    <xdr:from>
      <xdr:col>4</xdr:col>
      <xdr:colOff>577453</xdr:colOff>
      <xdr:row>8</xdr:row>
      <xdr:rowOff>47625</xdr:rowOff>
    </xdr:from>
    <xdr:to>
      <xdr:col>7</xdr:col>
      <xdr:colOff>46588</xdr:colOff>
      <xdr:row>13</xdr:row>
      <xdr:rowOff>133364</xdr:rowOff>
    </xdr:to>
    <xdr:pic>
      <xdr:nvPicPr>
        <xdr:cNvPr id="21" name="Picture 20">
          <a:hlinkClick xmlns:r="http://schemas.openxmlformats.org/officeDocument/2006/relationships" r:id="rId7"/>
          <a:extLst>
            <a:ext uri="{FF2B5EF4-FFF2-40B4-BE49-F238E27FC236}">
              <a16:creationId xmlns:a16="http://schemas.microsoft.com/office/drawing/2014/main" id="{79A51CD9-CB1A-4C6D-B930-90EF225EFF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30153" y="1495425"/>
          <a:ext cx="1297935" cy="1038239"/>
        </a:xfrm>
        <a:prstGeom prst="rect">
          <a:avLst/>
        </a:prstGeom>
      </xdr:spPr>
    </xdr:pic>
    <xdr:clientData/>
  </xdr:twoCellAnchor>
  <xdr:twoCellAnchor editAs="oneCell">
    <xdr:from>
      <xdr:col>8</xdr:col>
      <xdr:colOff>543343</xdr:colOff>
      <xdr:row>8</xdr:row>
      <xdr:rowOff>47625</xdr:rowOff>
    </xdr:from>
    <xdr:to>
      <xdr:col>11</xdr:col>
      <xdr:colOff>18788</xdr:colOff>
      <xdr:row>13</xdr:row>
      <xdr:rowOff>133819</xdr:rowOff>
    </xdr:to>
    <xdr:pic>
      <xdr:nvPicPr>
        <xdr:cNvPr id="22" name="Picture 21">
          <a:hlinkClick xmlns:r="http://schemas.openxmlformats.org/officeDocument/2006/relationships" r:id="rId9"/>
          <a:extLst>
            <a:ext uri="{FF2B5EF4-FFF2-40B4-BE49-F238E27FC236}">
              <a16:creationId xmlns:a16="http://schemas.microsoft.com/office/drawing/2014/main" id="{03D22086-1685-48B7-B242-FADC8A88981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443" y="1495425"/>
          <a:ext cx="1304245" cy="10386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2</xdr:row>
      <xdr:rowOff>57149</xdr:rowOff>
    </xdr:from>
    <xdr:to>
      <xdr:col>3</xdr:col>
      <xdr:colOff>0</xdr:colOff>
      <xdr:row>4</xdr:row>
      <xdr:rowOff>72149</xdr:rowOff>
    </xdr:to>
    <xdr:sp macro="" textlink="">
      <xdr:nvSpPr>
        <xdr:cNvPr id="2" name="TextBox 1">
          <a:extLst>
            <a:ext uri="{FF2B5EF4-FFF2-40B4-BE49-F238E27FC236}">
              <a16:creationId xmlns:a16="http://schemas.microsoft.com/office/drawing/2014/main" id="{F6659CFF-5286-40D7-98F4-B757E28119DB}"/>
            </a:ext>
          </a:extLst>
        </xdr:cNvPr>
        <xdr:cNvSpPr txBox="1"/>
      </xdr:nvSpPr>
      <xdr:spPr>
        <a:xfrm>
          <a:off x="628650" y="438149"/>
          <a:ext cx="3629025" cy="396000"/>
        </a:xfrm>
        <a:prstGeom prst="rect">
          <a:avLst/>
        </a:prstGeom>
        <a:solidFill>
          <a:schemeClr val="lt1"/>
        </a:solidFill>
        <a:ln w="38100" cmpd="sng">
          <a:solidFill>
            <a:srgbClr val="44966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solidFill>
                <a:srgbClr val="449669"/>
              </a:solidFill>
              <a:effectLst/>
              <a:latin typeface="Century Gothic" panose="020B0502020202020204" pitchFamily="34" charset="0"/>
              <a:ea typeface="+mn-ea"/>
              <a:cs typeface="+mn-cs"/>
            </a:rPr>
            <a:t>Stage</a:t>
          </a:r>
          <a:r>
            <a:rPr lang="en-GB" sz="1800" b="1" baseline="0">
              <a:solidFill>
                <a:srgbClr val="449669"/>
              </a:solidFill>
              <a:effectLst/>
              <a:latin typeface="Century Gothic" panose="020B0502020202020204" pitchFamily="34" charset="0"/>
              <a:ea typeface="+mn-ea"/>
              <a:cs typeface="+mn-cs"/>
            </a:rPr>
            <a:t> 4</a:t>
          </a:r>
          <a:endParaRPr lang="en-GB" sz="1800" b="1">
            <a:latin typeface="Century Gothic" panose="020B0502020202020204" pitchFamily="34" charset="0"/>
            <a:ea typeface="Segoe UI" panose="020B0502040204020203" pitchFamily="34" charset="0"/>
            <a:cs typeface="Segoe UI" panose="020B0502040204020203" pitchFamily="34" charset="0"/>
          </a:endParaRPr>
        </a:p>
        <a:p>
          <a:pPr algn="ctr"/>
          <a:endParaRPr lang="en-GB" sz="1800" b="1">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0</xdr:col>
      <xdr:colOff>552450</xdr:colOff>
      <xdr:row>4</xdr:row>
      <xdr:rowOff>180975</xdr:rowOff>
    </xdr:from>
    <xdr:to>
      <xdr:col>3</xdr:col>
      <xdr:colOff>66675</xdr:colOff>
      <xdr:row>6</xdr:row>
      <xdr:rowOff>133349</xdr:rowOff>
    </xdr:to>
    <xdr:sp macro="" textlink="">
      <xdr:nvSpPr>
        <xdr:cNvPr id="3" name="TextBox 2">
          <a:extLst>
            <a:ext uri="{FF2B5EF4-FFF2-40B4-BE49-F238E27FC236}">
              <a16:creationId xmlns:a16="http://schemas.microsoft.com/office/drawing/2014/main" id="{DC6F458F-5243-4801-8D6D-68E79E45F72B}"/>
            </a:ext>
          </a:extLst>
        </xdr:cNvPr>
        <xdr:cNvSpPr txBox="1"/>
      </xdr:nvSpPr>
      <xdr:spPr>
        <a:xfrm>
          <a:off x="552450" y="942975"/>
          <a:ext cx="3771900" cy="361949"/>
        </a:xfrm>
        <a:prstGeom prst="rect">
          <a:avLst/>
        </a:prstGeom>
        <a:solidFill>
          <a:schemeClr val="lt1"/>
        </a:solid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ysClr val="windowText" lastClr="000000"/>
              </a:solidFill>
              <a:effectLst/>
              <a:latin typeface="Century Gothic" panose="020B0502020202020204" pitchFamily="34" charset="0"/>
              <a:ea typeface="+mn-ea"/>
              <a:cs typeface="+mn-cs"/>
            </a:rPr>
            <a:t>Calculated</a:t>
          </a:r>
          <a:r>
            <a:rPr lang="en-GB" sz="1200" b="1" baseline="0">
              <a:solidFill>
                <a:sysClr val="windowText" lastClr="000000"/>
              </a:solidFill>
              <a:effectLst/>
              <a:latin typeface="Century Gothic" panose="020B0502020202020204" pitchFamily="34" charset="0"/>
              <a:ea typeface="+mn-ea"/>
              <a:cs typeface="+mn-cs"/>
            </a:rPr>
            <a:t> </a:t>
          </a:r>
          <a:r>
            <a:rPr lang="en-GB" sz="1200" b="1">
              <a:solidFill>
                <a:sysClr val="windowText" lastClr="000000"/>
              </a:solidFill>
              <a:effectLst/>
              <a:latin typeface="Century Gothic" panose="020B0502020202020204" pitchFamily="34" charset="0"/>
              <a:ea typeface="+mn-ea"/>
              <a:cs typeface="+mn-cs"/>
            </a:rPr>
            <a:t>Outputs</a:t>
          </a:r>
          <a:endParaRPr lang="en-GB" sz="1200" b="1">
            <a:solidFill>
              <a:sysClr val="windowText" lastClr="000000"/>
            </a:solidFill>
            <a:latin typeface="Century Gothic" panose="020B0502020202020204" pitchFamily="34" charset="0"/>
            <a:ea typeface="Segoe UI" panose="020B0502040204020203" pitchFamily="34" charset="0"/>
            <a:cs typeface="Segoe UI" panose="020B0502040204020203" pitchFamily="34" charset="0"/>
          </a:endParaRPr>
        </a:p>
      </xdr:txBody>
    </xdr:sp>
    <xdr:clientData/>
  </xdr:twoCellAnchor>
  <xdr:twoCellAnchor>
    <xdr:from>
      <xdr:col>1</xdr:col>
      <xdr:colOff>1558556</xdr:colOff>
      <xdr:row>5</xdr:row>
      <xdr:rowOff>19050</xdr:rowOff>
    </xdr:from>
    <xdr:to>
      <xdr:col>2</xdr:col>
      <xdr:colOff>257618</xdr:colOff>
      <xdr:row>5</xdr:row>
      <xdr:rowOff>19050</xdr:rowOff>
    </xdr:to>
    <xdr:cxnSp macro="">
      <xdr:nvCxnSpPr>
        <xdr:cNvPr id="4" name="Straight Connector 3">
          <a:extLst>
            <a:ext uri="{FF2B5EF4-FFF2-40B4-BE49-F238E27FC236}">
              <a16:creationId xmlns:a16="http://schemas.microsoft.com/office/drawing/2014/main" id="{935094C3-62FA-4563-A21D-C0A8CA6D4D15}"/>
            </a:ext>
          </a:extLst>
        </xdr:cNvPr>
        <xdr:cNvCxnSpPr/>
      </xdr:nvCxnSpPr>
      <xdr:spPr>
        <a:xfrm>
          <a:off x="2168156" y="971550"/>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1558556</xdr:colOff>
      <xdr:row>6</xdr:row>
      <xdr:rowOff>95250</xdr:rowOff>
    </xdr:from>
    <xdr:to>
      <xdr:col>2</xdr:col>
      <xdr:colOff>257618</xdr:colOff>
      <xdr:row>6</xdr:row>
      <xdr:rowOff>95250</xdr:rowOff>
    </xdr:to>
    <xdr:cxnSp macro="">
      <xdr:nvCxnSpPr>
        <xdr:cNvPr id="5" name="Straight Connector 4">
          <a:extLst>
            <a:ext uri="{FF2B5EF4-FFF2-40B4-BE49-F238E27FC236}">
              <a16:creationId xmlns:a16="http://schemas.microsoft.com/office/drawing/2014/main" id="{4BE1D860-027E-463E-9523-BF967B628009}"/>
            </a:ext>
          </a:extLst>
        </xdr:cNvPr>
        <xdr:cNvCxnSpPr/>
      </xdr:nvCxnSpPr>
      <xdr:spPr>
        <a:xfrm>
          <a:off x="2168156" y="1266825"/>
          <a:ext cx="556437" cy="0"/>
        </a:xfrm>
        <a:prstGeom prst="line">
          <a:avLst/>
        </a:prstGeom>
        <a:ln w="28575">
          <a:solidFill>
            <a:srgbClr val="44966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174266</xdr:colOff>
      <xdr:row>18</xdr:row>
      <xdr:rowOff>69449</xdr:rowOff>
    </xdr:from>
    <xdr:to>
      <xdr:col>10</xdr:col>
      <xdr:colOff>164760</xdr:colOff>
      <xdr:row>20</xdr:row>
      <xdr:rowOff>28450</xdr:rowOff>
    </xdr:to>
    <xdr:sp macro="" textlink="">
      <xdr:nvSpPr>
        <xdr:cNvPr id="6" name="TextBox 7">
          <a:extLst>
            <a:ext uri="{FF2B5EF4-FFF2-40B4-BE49-F238E27FC236}">
              <a16:creationId xmlns:a16="http://schemas.microsoft.com/office/drawing/2014/main" id="{A33283A2-3285-46F7-84EB-4AA89F75F0AF}"/>
            </a:ext>
          </a:extLst>
        </xdr:cNvPr>
        <xdr:cNvSpPr txBox="1"/>
      </xdr:nvSpPr>
      <xdr:spPr>
        <a:xfrm>
          <a:off x="8099066" y="3879449"/>
          <a:ext cx="1076344" cy="397151"/>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Value:</a:t>
          </a:r>
        </a:p>
      </xdr:txBody>
    </xdr:sp>
    <xdr:clientData/>
  </xdr:twoCellAnchor>
  <xdr:twoCellAnchor>
    <xdr:from>
      <xdr:col>10</xdr:col>
      <xdr:colOff>283470</xdr:colOff>
      <xdr:row>18</xdr:row>
      <xdr:rowOff>78974</xdr:rowOff>
    </xdr:from>
    <xdr:to>
      <xdr:col>12</xdr:col>
      <xdr:colOff>142080</xdr:colOff>
      <xdr:row>21</xdr:row>
      <xdr:rowOff>158095</xdr:rowOff>
    </xdr:to>
    <xdr:sp macro="" textlink="">
      <xdr:nvSpPr>
        <xdr:cNvPr id="7" name="TextBox 14">
          <a:extLst>
            <a:ext uri="{FF2B5EF4-FFF2-40B4-BE49-F238E27FC236}">
              <a16:creationId xmlns:a16="http://schemas.microsoft.com/office/drawing/2014/main" id="{568BEE80-E58D-4EA6-8C38-17AB8BAA4BAA}"/>
            </a:ext>
          </a:extLst>
        </xdr:cNvPr>
        <xdr:cNvSpPr txBox="1"/>
      </xdr:nvSpPr>
      <xdr:spPr>
        <a:xfrm>
          <a:off x="9294120" y="3888974"/>
          <a:ext cx="1077810"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12</xdr:col>
      <xdr:colOff>272513</xdr:colOff>
      <xdr:row>18</xdr:row>
      <xdr:rowOff>78974</xdr:rowOff>
    </xdr:from>
    <xdr:to>
      <xdr:col>14</xdr:col>
      <xdr:colOff>129658</xdr:colOff>
      <xdr:row>21</xdr:row>
      <xdr:rowOff>158095</xdr:rowOff>
    </xdr:to>
    <xdr:sp macro="" textlink="">
      <xdr:nvSpPr>
        <xdr:cNvPr id="8" name="TextBox 15">
          <a:extLst>
            <a:ext uri="{FF2B5EF4-FFF2-40B4-BE49-F238E27FC236}">
              <a16:creationId xmlns:a16="http://schemas.microsoft.com/office/drawing/2014/main" id="{16337382-E2DF-4335-9BD5-709929421A4C}"/>
            </a:ext>
          </a:extLst>
        </xdr:cNvPr>
        <xdr:cNvSpPr txBox="1"/>
      </xdr:nvSpPr>
      <xdr:spPr>
        <a:xfrm>
          <a:off x="10502363" y="3888974"/>
          <a:ext cx="1076345" cy="73634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14</xdr:col>
      <xdr:colOff>257888</xdr:colOff>
      <xdr:row>18</xdr:row>
      <xdr:rowOff>98024</xdr:rowOff>
    </xdr:from>
    <xdr:to>
      <xdr:col>16</xdr:col>
      <xdr:colOff>115033</xdr:colOff>
      <xdr:row>21</xdr:row>
      <xdr:rowOff>13575</xdr:rowOff>
    </xdr:to>
    <xdr:sp macro="" textlink="">
      <xdr:nvSpPr>
        <xdr:cNvPr id="9" name="TextBox 16">
          <a:extLst>
            <a:ext uri="{FF2B5EF4-FFF2-40B4-BE49-F238E27FC236}">
              <a16:creationId xmlns:a16="http://schemas.microsoft.com/office/drawing/2014/main" id="{FB53914C-1439-4AB8-92D7-6CA707289620}"/>
            </a:ext>
          </a:extLst>
        </xdr:cNvPr>
        <xdr:cNvSpPr txBox="1"/>
      </xdr:nvSpPr>
      <xdr:spPr>
        <a:xfrm>
          <a:off x="11706938" y="3908024"/>
          <a:ext cx="1076345" cy="572776"/>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8</xdr:col>
      <xdr:colOff>76200</xdr:colOff>
      <xdr:row>13</xdr:row>
      <xdr:rowOff>76201</xdr:rowOff>
    </xdr:from>
    <xdr:to>
      <xdr:col>10</xdr:col>
      <xdr:colOff>276226</xdr:colOff>
      <xdr:row>18</xdr:row>
      <xdr:rowOff>84282</xdr:rowOff>
    </xdr:to>
    <xdr:pic>
      <xdr:nvPicPr>
        <xdr:cNvPr id="10" name="Picture 9">
          <a:hlinkClick xmlns:r="http://schemas.openxmlformats.org/officeDocument/2006/relationships" r:id="rId1"/>
          <a:extLst>
            <a:ext uri="{FF2B5EF4-FFF2-40B4-BE49-F238E27FC236}">
              <a16:creationId xmlns:a16="http://schemas.microsoft.com/office/drawing/2014/main" id="{CF9F181F-F076-4A15-9A81-9FFA380081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0" y="2876551"/>
          <a:ext cx="1285876" cy="1017731"/>
        </a:xfrm>
        <a:prstGeom prst="rect">
          <a:avLst/>
        </a:prstGeom>
      </xdr:spPr>
    </xdr:pic>
    <xdr:clientData/>
  </xdr:twoCellAnchor>
  <xdr:twoCellAnchor editAs="oneCell">
    <xdr:from>
      <xdr:col>12</xdr:col>
      <xdr:colOff>169343</xdr:colOff>
      <xdr:row>13</xdr:row>
      <xdr:rowOff>73801</xdr:rowOff>
    </xdr:from>
    <xdr:to>
      <xdr:col>14</xdr:col>
      <xdr:colOff>242663</xdr:colOff>
      <xdr:row>18</xdr:row>
      <xdr:rowOff>88300</xdr:rowOff>
    </xdr:to>
    <xdr:pic>
      <xdr:nvPicPr>
        <xdr:cNvPr id="11" name="Picture 10">
          <a:hlinkClick xmlns:r="http://schemas.openxmlformats.org/officeDocument/2006/relationships" r:id="rId3"/>
          <a:extLst>
            <a:ext uri="{FF2B5EF4-FFF2-40B4-BE49-F238E27FC236}">
              <a16:creationId xmlns:a16="http://schemas.microsoft.com/office/drawing/2014/main" id="{E398EA38-93DD-45FF-9C31-D9A63D8464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99193" y="2874151"/>
          <a:ext cx="1292520" cy="1024149"/>
        </a:xfrm>
        <a:prstGeom prst="rect">
          <a:avLst/>
        </a:prstGeom>
      </xdr:spPr>
    </xdr:pic>
    <xdr:clientData/>
  </xdr:twoCellAnchor>
  <xdr:twoCellAnchor editAs="oneCell">
    <xdr:from>
      <xdr:col>10</xdr:col>
      <xdr:colOff>186928</xdr:colOff>
      <xdr:row>12</xdr:row>
      <xdr:rowOff>95250</xdr:rowOff>
    </xdr:from>
    <xdr:to>
      <xdr:col>12</xdr:col>
      <xdr:colOff>259313</xdr:colOff>
      <xdr:row>17</xdr:row>
      <xdr:rowOff>161939</xdr:rowOff>
    </xdr:to>
    <xdr:pic>
      <xdr:nvPicPr>
        <xdr:cNvPr id="12" name="Picture 11">
          <a:hlinkClick xmlns:r="http://schemas.openxmlformats.org/officeDocument/2006/relationships" r:id="rId5"/>
          <a:extLst>
            <a:ext uri="{FF2B5EF4-FFF2-40B4-BE49-F238E27FC236}">
              <a16:creationId xmlns:a16="http://schemas.microsoft.com/office/drawing/2014/main" id="{4A9C62A6-3D7B-4731-AAFB-011BA62AB70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7578" y="2752725"/>
          <a:ext cx="1291585" cy="1019189"/>
        </a:xfrm>
        <a:prstGeom prst="rect">
          <a:avLst/>
        </a:prstGeom>
      </xdr:spPr>
    </xdr:pic>
    <xdr:clientData/>
  </xdr:twoCellAnchor>
  <xdr:twoCellAnchor editAs="oneCell">
    <xdr:from>
      <xdr:col>14</xdr:col>
      <xdr:colOff>152818</xdr:colOff>
      <xdr:row>12</xdr:row>
      <xdr:rowOff>95250</xdr:rowOff>
    </xdr:from>
    <xdr:to>
      <xdr:col>16</xdr:col>
      <xdr:colOff>228338</xdr:colOff>
      <xdr:row>17</xdr:row>
      <xdr:rowOff>165569</xdr:rowOff>
    </xdr:to>
    <xdr:pic>
      <xdr:nvPicPr>
        <xdr:cNvPr id="13" name="Picture 12">
          <a:hlinkClick xmlns:r="http://schemas.openxmlformats.org/officeDocument/2006/relationships" r:id="rId7"/>
          <a:extLst>
            <a:ext uri="{FF2B5EF4-FFF2-40B4-BE49-F238E27FC236}">
              <a16:creationId xmlns:a16="http://schemas.microsoft.com/office/drawing/2014/main" id="{4D499E9D-14E9-4A44-9642-E04BC704D61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601868" y="2752725"/>
          <a:ext cx="1294720" cy="10228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http://mapapps2.bgs.ac.uk/ukso/home.html?layers=NVZEng" TargetMode="External"/><Relationship Id="rId2" Type="http://schemas.openxmlformats.org/officeDocument/2006/relationships/hyperlink" Target="http://www.landis.org.uk/soilscapes/" TargetMode="External"/><Relationship Id="rId1" Type="http://schemas.openxmlformats.org/officeDocument/2006/relationships/hyperlink" Target="http://environment.data.gov.uk/catchment-planning/"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nrfa.ceh.ac.uk/data/station/spatial/55003"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5:Y12"/>
  <sheetViews>
    <sheetView showGridLines="0" showRowColHeaders="0" zoomScaleNormal="100" workbookViewId="0"/>
  </sheetViews>
  <sheetFormatPr defaultColWidth="5.7265625" defaultRowHeight="28.5" customHeight="1" x14ac:dyDescent="0.35"/>
  <cols>
    <col min="1" max="12" width="5.7265625" style="2"/>
    <col min="13" max="13" width="30.26953125" style="2" bestFit="1" customWidth="1"/>
    <col min="14" max="14" width="5.7265625" style="2"/>
    <col min="15" max="15" width="4.54296875" style="2" customWidth="1"/>
    <col min="16" max="20" width="5.7265625" style="2"/>
    <col min="21" max="21" width="5.7265625" style="2" customWidth="1"/>
    <col min="22" max="16384" width="5.7265625" style="2"/>
  </cols>
  <sheetData>
    <row r="5" spans="13:25" ht="28.5" customHeight="1" x14ac:dyDescent="0.35">
      <c r="Y5"/>
    </row>
    <row r="11" spans="13:25" ht="18" customHeight="1" x14ac:dyDescent="0.35"/>
    <row r="12" spans="13:25" ht="43" x14ac:dyDescent="0.35">
      <c r="M12" s="105" t="s">
        <v>270</v>
      </c>
    </row>
  </sheetData>
  <sheetProtection algorithmName="SHA-512" hashValue="JKunTxripyNm7GwBLZ4X5AvlaKUUqlOeRZOddA3weziqoNs/6oo1af8ojeQCvFa7j4l87cX1AS/jDhYlrXoEag==" saltValue="Ofccwb615wQlbGh6Tr3ItQ==" spinCount="100000" sheet="1" object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33"/>
  <sheetViews>
    <sheetView topLeftCell="A10" workbookViewId="0">
      <selection activeCell="C16" sqref="C16"/>
    </sheetView>
  </sheetViews>
  <sheetFormatPr defaultColWidth="9.26953125" defaultRowHeight="14.5" x14ac:dyDescent="0.35"/>
  <cols>
    <col min="1" max="1" width="9.26953125" style="1"/>
    <col min="2" max="2" width="27.7265625" style="1" customWidth="1"/>
    <col min="3" max="3" width="26.7265625" style="1" customWidth="1"/>
    <col min="4" max="4" width="9.26953125" style="1"/>
    <col min="5" max="5" width="15" style="1" customWidth="1"/>
    <col min="6" max="6" width="12.54296875" style="1" customWidth="1"/>
    <col min="7" max="9" width="9.26953125" style="1"/>
    <col min="10" max="10" width="7.26953125" style="1" customWidth="1"/>
    <col min="11" max="16384" width="9.26953125" style="1"/>
  </cols>
  <sheetData>
    <row r="5" spans="1:11" x14ac:dyDescent="0.35">
      <c r="B5" s="4"/>
      <c r="C5" s="4"/>
      <c r="D5" s="4"/>
      <c r="E5" s="4"/>
      <c r="F5" s="4"/>
      <c r="G5" s="4"/>
      <c r="H5" s="4"/>
      <c r="I5" s="4"/>
      <c r="J5" s="4"/>
      <c r="K5" s="4"/>
    </row>
    <row r="6" spans="1:11" ht="16.5" x14ac:dyDescent="0.35">
      <c r="A6" s="4"/>
      <c r="K6" s="7"/>
    </row>
    <row r="7" spans="1:11" ht="18" customHeight="1" x14ac:dyDescent="0.5">
      <c r="A7" s="4"/>
      <c r="F7" s="5"/>
      <c r="G7" s="6"/>
      <c r="H7" s="6"/>
      <c r="I7" s="5"/>
      <c r="K7" s="8"/>
    </row>
    <row r="8" spans="1:11" ht="12" customHeight="1" x14ac:dyDescent="0.5">
      <c r="A8" s="4"/>
      <c r="F8" s="3"/>
      <c r="G8" s="3"/>
      <c r="H8" s="3"/>
      <c r="I8" s="10"/>
      <c r="K8" s="8"/>
    </row>
    <row r="9" spans="1:11" ht="17" thickBot="1" x14ac:dyDescent="0.55000000000000004">
      <c r="A9" s="4"/>
      <c r="B9" s="15" t="s">
        <v>91</v>
      </c>
      <c r="D9" s="23"/>
      <c r="E9" s="292" t="s">
        <v>130</v>
      </c>
      <c r="G9" s="3"/>
      <c r="H9" s="3"/>
      <c r="I9" s="10"/>
      <c r="K9" s="8"/>
    </row>
    <row r="10" spans="1:11" ht="21" customHeight="1" thickTop="1" thickBot="1" x14ac:dyDescent="0.55000000000000004">
      <c r="A10" s="4"/>
      <c r="B10" s="16" t="s">
        <v>90</v>
      </c>
      <c r="D10" s="25"/>
      <c r="E10" s="292"/>
      <c r="G10" s="3"/>
      <c r="H10" s="3" t="s">
        <v>131</v>
      </c>
      <c r="I10" s="10"/>
      <c r="J10" s="7"/>
      <c r="K10" s="9"/>
    </row>
    <row r="11" spans="1:11" ht="17.5" thickTop="1" thickBot="1" x14ac:dyDescent="0.4">
      <c r="A11" s="4"/>
      <c r="B11" s="17" t="s">
        <v>89</v>
      </c>
      <c r="D11" s="26"/>
      <c r="E11" s="292"/>
      <c r="G11" s="8"/>
      <c r="H11" s="8" t="e">
        <f>IF(C33&lt;0,"Well done, you're in the clear…,""")</f>
        <v>#VALUE!</v>
      </c>
      <c r="I11" s="8"/>
      <c r="J11" s="8"/>
      <c r="K11" s="9"/>
    </row>
    <row r="12" spans="1:11" ht="29.25" customHeight="1" thickTop="1" x14ac:dyDescent="0.35">
      <c r="B12" s="18" t="s">
        <v>88</v>
      </c>
      <c r="D12" s="27"/>
      <c r="E12" s="292"/>
      <c r="G12" s="9"/>
      <c r="H12" s="9" t="s">
        <v>132</v>
      </c>
      <c r="I12" s="9"/>
      <c r="J12" s="9"/>
    </row>
    <row r="13" spans="1:11" ht="11.25" customHeight="1" x14ac:dyDescent="0.35">
      <c r="B13" s="23"/>
      <c r="C13" s="23"/>
      <c r="D13" s="23"/>
      <c r="E13" s="23"/>
      <c r="F13" s="57"/>
    </row>
    <row r="14" spans="1:11" x14ac:dyDescent="0.35">
      <c r="B14" s="23"/>
      <c r="C14" s="23"/>
      <c r="D14" s="23"/>
      <c r="E14" s="23"/>
      <c r="F14" s="57"/>
    </row>
    <row r="15" spans="1:11" ht="15" thickBot="1" x14ac:dyDescent="0.4">
      <c r="B15" s="15" t="s">
        <v>84</v>
      </c>
      <c r="C15" s="54" t="str">
        <f>'Stage 1'!D34</f>
        <v/>
      </c>
      <c r="D15" s="23"/>
      <c r="E15" s="292" t="s">
        <v>129</v>
      </c>
    </row>
    <row r="16" spans="1:11" ht="15.5" thickTop="1" thickBot="1" x14ac:dyDescent="0.4">
      <c r="B16" s="16" t="s">
        <v>85</v>
      </c>
      <c r="C16" s="24">
        <f>'Stage 3'!F27-'Stage 2'!F32</f>
        <v>0</v>
      </c>
      <c r="D16" s="23"/>
      <c r="E16" s="292"/>
    </row>
    <row r="17" spans="2:7" ht="15.5" thickTop="1" thickBot="1" x14ac:dyDescent="0.4">
      <c r="B17" s="17" t="s">
        <v>86</v>
      </c>
      <c r="C17" s="55" t="e">
        <f>C15+C16</f>
        <v>#VALUE!</v>
      </c>
      <c r="D17" s="19"/>
      <c r="E17" s="292"/>
      <c r="G17" s="4"/>
    </row>
    <row r="18" spans="2:7" ht="15" thickTop="1" x14ac:dyDescent="0.35">
      <c r="B18" s="18" t="s">
        <v>87</v>
      </c>
      <c r="C18" s="56" t="e">
        <f>C17*1.2</f>
        <v>#VALUE!</v>
      </c>
      <c r="D18" s="19"/>
      <c r="E18" s="292"/>
      <c r="G18" s="4"/>
    </row>
    <row r="19" spans="2:7" ht="16.5" x14ac:dyDescent="0.35">
      <c r="B19" s="10"/>
      <c r="C19" s="12"/>
      <c r="D19" s="13"/>
      <c r="G19" s="4"/>
    </row>
    <row r="20" spans="2:7" ht="16.5" x14ac:dyDescent="0.35">
      <c r="B20" s="10"/>
      <c r="C20" s="12"/>
      <c r="D20" s="13"/>
      <c r="G20" s="4"/>
    </row>
    <row r="21" spans="2:7" ht="16.5" x14ac:dyDescent="0.35">
      <c r="B21" s="10"/>
      <c r="C21" s="13"/>
      <c r="D21" s="13"/>
      <c r="G21" s="4"/>
    </row>
    <row r="22" spans="2:7" ht="16.5" x14ac:dyDescent="0.35">
      <c r="B22" s="11"/>
      <c r="C22" s="14"/>
      <c r="D22" s="14"/>
      <c r="G22" s="4"/>
    </row>
    <row r="23" spans="2:7" x14ac:dyDescent="0.35">
      <c r="G23" s="4"/>
    </row>
    <row r="24" spans="2:7" ht="15" thickBot="1" x14ac:dyDescent="0.4">
      <c r="C24" s="54" t="str">
        <f>'Stage 1'!D29</f>
        <v/>
      </c>
      <c r="F24" s="291" t="e">
        <f>C33</f>
        <v>#VALUE!</v>
      </c>
    </row>
    <row r="25" spans="2:7" ht="15" thickTop="1" x14ac:dyDescent="0.35">
      <c r="F25" s="291"/>
    </row>
    <row r="26" spans="2:7" x14ac:dyDescent="0.35">
      <c r="F26" s="291"/>
    </row>
    <row r="27" spans="2:7" ht="15" thickBot="1" x14ac:dyDescent="0.4">
      <c r="C27" s="24">
        <f>'Stage 3'!E27-'Stage 2'!E32</f>
        <v>0</v>
      </c>
      <c r="F27" s="291"/>
    </row>
    <row r="28" spans="2:7" ht="15" thickTop="1" x14ac:dyDescent="0.35"/>
    <row r="29" spans="2:7" ht="15" thickBot="1" x14ac:dyDescent="0.4">
      <c r="F29" s="293" t="e">
        <f>C18</f>
        <v>#VALUE!</v>
      </c>
    </row>
    <row r="30" spans="2:7" ht="15.5" thickTop="1" thickBot="1" x14ac:dyDescent="0.4">
      <c r="C30" s="55" t="e">
        <f>C24+C27</f>
        <v>#VALUE!</v>
      </c>
      <c r="F30" s="293"/>
    </row>
    <row r="31" spans="2:7" ht="15" thickTop="1" x14ac:dyDescent="0.35">
      <c r="F31" s="293"/>
    </row>
    <row r="32" spans="2:7" ht="15" thickBot="1" x14ac:dyDescent="0.4">
      <c r="F32" s="293"/>
    </row>
    <row r="33" spans="3:3" ht="15" thickTop="1" x14ac:dyDescent="0.35">
      <c r="C33" s="56" t="e">
        <f>C30*1.2</f>
        <v>#VALUE!</v>
      </c>
    </row>
  </sheetData>
  <mergeCells count="4">
    <mergeCell ref="E9:E12"/>
    <mergeCell ref="F24:F27"/>
    <mergeCell ref="E15:E18"/>
    <mergeCell ref="F29:F3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'C:\Users\DS56\OneDrive - Ricardo Plc\NE NN\[Copy of Herefordshire Council Phosphate Budget Calculator_Final.xlsx]Stage 2 and 3 lookups'!#REF!</xm:f>
          </x14:formula1>
          <xm:sqref>I8:I10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34"/>
  <sheetViews>
    <sheetView showGridLines="0" showRowColHeaders="0" zoomScaleNormal="100" workbookViewId="0">
      <selection activeCell="F22" sqref="F22"/>
    </sheetView>
  </sheetViews>
  <sheetFormatPr defaultColWidth="9.26953125" defaultRowHeight="14.5" x14ac:dyDescent="0.35"/>
  <cols>
    <col min="1" max="1" width="9.26953125" style="136"/>
    <col min="2" max="2" width="4.7265625" style="136" customWidth="1"/>
    <col min="3" max="3" width="44.453125" style="136" bestFit="1" customWidth="1"/>
    <col min="4" max="4" width="31.26953125" style="136" bestFit="1" customWidth="1"/>
    <col min="5" max="5" width="34" style="136" customWidth="1"/>
    <col min="6" max="6" width="31.54296875" style="136" customWidth="1"/>
    <col min="7" max="7" width="41.7265625" style="136" customWidth="1"/>
    <col min="8" max="8" width="51.26953125" style="136" customWidth="1"/>
    <col min="9" max="9" width="46.54296875" style="136" customWidth="1"/>
    <col min="10" max="10" width="39.7265625" style="136" bestFit="1" customWidth="1"/>
    <col min="11" max="11" width="36.7265625" style="136" customWidth="1"/>
    <col min="12" max="12" width="38.26953125" style="136" bestFit="1" customWidth="1"/>
    <col min="13" max="15" width="28" style="136" customWidth="1"/>
    <col min="16" max="16" width="9" style="136" customWidth="1"/>
    <col min="17" max="16384" width="9.26953125" style="136"/>
  </cols>
  <sheetData>
    <row r="1" spans="2:16" ht="35.25" customHeight="1" thickBot="1" x14ac:dyDescent="0.4"/>
    <row r="2" spans="2:16" ht="15" thickTop="1" x14ac:dyDescent="0.35">
      <c r="B2" s="284" t="s">
        <v>203</v>
      </c>
      <c r="C2" s="285"/>
      <c r="D2" s="285"/>
      <c r="E2" s="285"/>
      <c r="F2" s="285"/>
      <c r="G2" s="285"/>
      <c r="H2" s="285"/>
      <c r="I2" s="285"/>
      <c r="J2" s="285"/>
      <c r="K2" s="285"/>
      <c r="L2" s="285"/>
      <c r="M2" s="285"/>
      <c r="N2" s="285"/>
      <c r="O2" s="285"/>
      <c r="P2" s="286"/>
    </row>
    <row r="3" spans="2:16" x14ac:dyDescent="0.35">
      <c r="B3" s="273"/>
      <c r="C3" s="274"/>
      <c r="D3" s="274"/>
      <c r="E3" s="274"/>
      <c r="F3" s="274"/>
      <c r="G3" s="274"/>
      <c r="H3" s="274"/>
      <c r="I3" s="274"/>
      <c r="J3" s="274"/>
      <c r="K3" s="274"/>
      <c r="L3" s="274"/>
      <c r="M3" s="274"/>
      <c r="N3" s="274"/>
      <c r="O3" s="274"/>
      <c r="P3" s="275"/>
    </row>
    <row r="4" spans="2:16" x14ac:dyDescent="0.35">
      <c r="B4" s="273"/>
      <c r="C4" s="274"/>
      <c r="D4" s="274"/>
      <c r="E4" s="274"/>
      <c r="F4" s="274"/>
      <c r="G4" s="274"/>
      <c r="H4" s="274"/>
      <c r="I4" s="274"/>
      <c r="J4" s="274"/>
      <c r="K4" s="274"/>
      <c r="L4" s="274"/>
      <c r="M4" s="274"/>
      <c r="N4" s="274"/>
      <c r="O4" s="274"/>
      <c r="P4" s="275"/>
    </row>
    <row r="5" spans="2:16" x14ac:dyDescent="0.35">
      <c r="B5" s="132"/>
      <c r="C5" s="30"/>
      <c r="D5" s="30"/>
      <c r="E5" s="30"/>
      <c r="F5" s="30"/>
      <c r="G5" s="30"/>
      <c r="H5" s="30"/>
      <c r="I5" s="30"/>
      <c r="J5" s="30"/>
      <c r="K5" s="30"/>
      <c r="L5" s="30"/>
      <c r="M5" s="30"/>
      <c r="N5" s="30"/>
      <c r="O5" s="30"/>
      <c r="P5" s="133"/>
    </row>
    <row r="6" spans="2:16" x14ac:dyDescent="0.35">
      <c r="B6" s="132"/>
      <c r="C6" s="30" t="s">
        <v>110</v>
      </c>
      <c r="D6" s="30"/>
      <c r="E6" s="30"/>
      <c r="F6" s="30"/>
      <c r="G6" s="30"/>
      <c r="H6" s="30"/>
      <c r="I6" s="30"/>
      <c r="J6" s="30"/>
      <c r="K6" s="30"/>
      <c r="L6" s="30"/>
      <c r="M6" s="30"/>
      <c r="N6" s="30"/>
      <c r="O6" s="30"/>
      <c r="P6" s="133"/>
    </row>
    <row r="7" spans="2:16" ht="33.75" customHeight="1" thickBot="1" x14ac:dyDescent="0.4">
      <c r="B7" s="132"/>
      <c r="C7" s="36" t="s">
        <v>99</v>
      </c>
      <c r="D7" s="50" t="s">
        <v>190</v>
      </c>
      <c r="E7" s="50" t="s">
        <v>217</v>
      </c>
      <c r="F7" s="50" t="s">
        <v>189</v>
      </c>
      <c r="G7" s="130" t="s">
        <v>222</v>
      </c>
      <c r="H7" s="28"/>
      <c r="I7" s="28"/>
      <c r="J7" s="28"/>
      <c r="K7" s="28"/>
      <c r="L7" s="28"/>
      <c r="M7" s="28"/>
      <c r="N7" s="28"/>
      <c r="O7" s="28"/>
      <c r="P7" s="133"/>
    </row>
    <row r="8" spans="2:16" ht="15" thickTop="1" x14ac:dyDescent="0.35">
      <c r="B8" s="132"/>
      <c r="C8" s="185" t="s">
        <v>237</v>
      </c>
      <c r="D8" s="48">
        <v>5</v>
      </c>
      <c r="E8" s="48"/>
      <c r="F8" s="48">
        <v>5</v>
      </c>
      <c r="G8" s="45"/>
      <c r="H8" s="28"/>
      <c r="I8" s="28"/>
      <c r="J8" s="28"/>
      <c r="K8" s="28"/>
      <c r="L8" s="28"/>
      <c r="M8" s="28"/>
      <c r="N8" s="28"/>
      <c r="O8" s="28"/>
      <c r="P8" s="133"/>
    </row>
    <row r="9" spans="2:16" x14ac:dyDescent="0.35">
      <c r="B9" s="132"/>
      <c r="C9" s="185" t="s">
        <v>238</v>
      </c>
      <c r="D9" s="48">
        <v>5</v>
      </c>
      <c r="E9" s="48"/>
      <c r="F9" s="48">
        <v>5</v>
      </c>
      <c r="G9" s="45"/>
      <c r="H9" s="28"/>
      <c r="I9" s="28"/>
      <c r="J9" s="28"/>
      <c r="K9" s="28"/>
      <c r="L9" s="28"/>
      <c r="M9" s="28"/>
      <c r="N9" s="28"/>
      <c r="O9" s="28"/>
      <c r="P9" s="133"/>
    </row>
    <row r="10" spans="2:16" x14ac:dyDescent="0.35">
      <c r="B10" s="132"/>
      <c r="C10" s="185" t="s">
        <v>239</v>
      </c>
      <c r="D10" s="48">
        <v>5</v>
      </c>
      <c r="E10" s="48"/>
      <c r="F10" s="48">
        <v>5</v>
      </c>
      <c r="G10" s="45"/>
      <c r="H10" s="28"/>
      <c r="I10" s="28"/>
      <c r="J10" s="28"/>
      <c r="K10" s="28"/>
      <c r="L10" s="28"/>
      <c r="M10" s="28"/>
      <c r="N10" s="28"/>
      <c r="O10" s="28"/>
      <c r="P10" s="133"/>
    </row>
    <row r="11" spans="2:16" x14ac:dyDescent="0.35">
      <c r="B11" s="132"/>
      <c r="C11" s="185" t="s">
        <v>240</v>
      </c>
      <c r="D11" s="48">
        <v>5</v>
      </c>
      <c r="E11" s="48"/>
      <c r="F11" s="48">
        <v>5</v>
      </c>
      <c r="G11" s="45"/>
      <c r="H11" s="28"/>
      <c r="I11" s="28"/>
      <c r="J11" s="28"/>
      <c r="K11" s="28"/>
      <c r="L11" s="28"/>
      <c r="M11" s="28"/>
      <c r="N11" s="28"/>
      <c r="O11" s="28"/>
      <c r="P11" s="133"/>
    </row>
    <row r="12" spans="2:16" x14ac:dyDescent="0.35">
      <c r="B12" s="132"/>
      <c r="C12" s="185" t="s">
        <v>241</v>
      </c>
      <c r="D12" s="48">
        <v>1</v>
      </c>
      <c r="E12" s="48"/>
      <c r="F12" s="48">
        <v>1</v>
      </c>
      <c r="G12" s="45"/>
      <c r="H12" s="28"/>
      <c r="I12" s="28"/>
      <c r="J12" s="28"/>
      <c r="K12" s="28"/>
      <c r="L12" s="28"/>
      <c r="M12" s="28"/>
      <c r="N12" s="28"/>
      <c r="O12" s="28"/>
      <c r="P12" s="133"/>
    </row>
    <row r="13" spans="2:16" x14ac:dyDescent="0.35">
      <c r="B13" s="132"/>
      <c r="C13" s="185" t="s">
        <v>242</v>
      </c>
      <c r="D13" s="48">
        <v>5</v>
      </c>
      <c r="E13" s="48"/>
      <c r="F13" s="48">
        <v>5</v>
      </c>
      <c r="G13" s="45"/>
      <c r="H13" s="28"/>
      <c r="I13" s="28"/>
      <c r="J13" s="28"/>
      <c r="K13" s="28"/>
      <c r="L13" s="28"/>
      <c r="M13" s="28"/>
      <c r="N13" s="28"/>
      <c r="O13" s="28"/>
      <c r="P13" s="133"/>
    </row>
    <row r="14" spans="2:16" x14ac:dyDescent="0.35">
      <c r="B14" s="132"/>
      <c r="C14" s="185" t="s">
        <v>243</v>
      </c>
      <c r="D14" s="48">
        <v>5</v>
      </c>
      <c r="E14" s="48"/>
      <c r="F14" s="48">
        <v>5</v>
      </c>
      <c r="G14" s="45"/>
      <c r="H14" s="28"/>
      <c r="I14" s="28"/>
      <c r="J14" s="28"/>
      <c r="K14" s="28"/>
      <c r="L14" s="28"/>
      <c r="M14" s="28"/>
      <c r="N14" s="28"/>
      <c r="O14" s="28"/>
      <c r="P14" s="133"/>
    </row>
    <row r="15" spans="2:16" x14ac:dyDescent="0.35">
      <c r="B15" s="132"/>
      <c r="C15" s="185" t="s">
        <v>226</v>
      </c>
      <c r="D15" s="48">
        <v>5</v>
      </c>
      <c r="E15" s="48"/>
      <c r="F15" s="48">
        <v>5</v>
      </c>
      <c r="G15" s="45"/>
      <c r="H15" s="28"/>
      <c r="I15" s="28"/>
      <c r="J15" s="28"/>
      <c r="K15" s="28"/>
      <c r="L15" s="28"/>
      <c r="M15" s="28"/>
      <c r="N15" s="28"/>
      <c r="O15" s="28"/>
      <c r="P15" s="133"/>
    </row>
    <row r="16" spans="2:16" x14ac:dyDescent="0.35">
      <c r="B16" s="132"/>
      <c r="C16" s="185" t="s">
        <v>244</v>
      </c>
      <c r="D16" s="48">
        <v>5</v>
      </c>
      <c r="E16" s="48"/>
      <c r="F16" s="48">
        <v>5</v>
      </c>
      <c r="G16" s="45"/>
      <c r="H16" s="28"/>
      <c r="I16" s="28"/>
      <c r="J16" s="28"/>
      <c r="K16" s="28"/>
      <c r="L16" s="28"/>
      <c r="M16" s="28"/>
      <c r="N16" s="28"/>
      <c r="O16" s="28"/>
      <c r="P16" s="133"/>
    </row>
    <row r="17" spans="2:16" x14ac:dyDescent="0.35">
      <c r="B17" s="132"/>
      <c r="C17" s="185" t="s">
        <v>245</v>
      </c>
      <c r="D17" s="48">
        <v>5</v>
      </c>
      <c r="E17" s="48"/>
      <c r="F17" s="48">
        <v>5</v>
      </c>
      <c r="G17" s="45"/>
      <c r="H17" s="28"/>
      <c r="I17" s="28"/>
      <c r="J17" s="28"/>
      <c r="K17" s="28"/>
      <c r="L17" s="28"/>
      <c r="M17" s="28"/>
      <c r="N17" s="28"/>
      <c r="O17" s="28"/>
      <c r="P17" s="133"/>
    </row>
    <row r="18" spans="2:16" x14ac:dyDescent="0.35">
      <c r="B18" s="132"/>
      <c r="C18" s="185" t="s">
        <v>246</v>
      </c>
      <c r="D18" s="48">
        <v>5</v>
      </c>
      <c r="E18" s="48"/>
      <c r="F18" s="48">
        <v>5</v>
      </c>
      <c r="G18" s="45"/>
      <c r="H18" s="28"/>
      <c r="I18" s="28"/>
      <c r="J18" s="28"/>
      <c r="K18" s="28"/>
      <c r="L18" s="28"/>
      <c r="M18" s="28"/>
      <c r="N18" s="28"/>
      <c r="O18" s="28"/>
      <c r="P18" s="133"/>
    </row>
    <row r="19" spans="2:16" x14ac:dyDescent="0.35">
      <c r="B19" s="132"/>
      <c r="C19" s="185" t="s">
        <v>247</v>
      </c>
      <c r="D19" s="48">
        <v>5</v>
      </c>
      <c r="E19" s="48"/>
      <c r="F19" s="48">
        <v>5</v>
      </c>
      <c r="G19" s="45"/>
      <c r="H19" s="28"/>
      <c r="I19" s="28"/>
      <c r="J19" s="28"/>
      <c r="K19" s="28"/>
      <c r="L19" s="28"/>
      <c r="M19" s="28"/>
      <c r="N19" s="28"/>
      <c r="O19" s="28"/>
      <c r="P19" s="133"/>
    </row>
    <row r="20" spans="2:16" x14ac:dyDescent="0.35">
      <c r="B20" s="132"/>
      <c r="C20" s="185" t="s">
        <v>227</v>
      </c>
      <c r="D20" s="48">
        <v>5</v>
      </c>
      <c r="E20" s="48"/>
      <c r="F20" s="48">
        <v>5</v>
      </c>
      <c r="G20" s="45"/>
      <c r="H20" s="28"/>
      <c r="I20" s="28"/>
      <c r="J20" s="28"/>
      <c r="K20" s="28"/>
      <c r="L20" s="28"/>
      <c r="M20" s="28"/>
      <c r="N20" s="28"/>
      <c r="O20" s="28"/>
      <c r="P20" s="133"/>
    </row>
    <row r="21" spans="2:16" x14ac:dyDescent="0.35">
      <c r="B21" s="132"/>
      <c r="C21" s="185" t="s">
        <v>228</v>
      </c>
      <c r="D21" s="48">
        <v>1</v>
      </c>
      <c r="E21" s="48"/>
      <c r="F21" s="48">
        <v>1</v>
      </c>
      <c r="G21" s="45"/>
      <c r="H21" s="28"/>
      <c r="I21" s="28"/>
      <c r="J21" s="28"/>
      <c r="K21" s="28"/>
      <c r="L21" s="28"/>
      <c r="M21" s="28"/>
      <c r="N21" s="28"/>
      <c r="O21" s="28"/>
      <c r="P21" s="133"/>
    </row>
    <row r="22" spans="2:16" x14ac:dyDescent="0.35">
      <c r="B22" s="132"/>
      <c r="C22" s="185" t="s">
        <v>267</v>
      </c>
      <c r="D22" s="48">
        <v>1</v>
      </c>
      <c r="E22" s="48"/>
      <c r="F22" s="48">
        <v>0.5</v>
      </c>
      <c r="G22" s="45"/>
      <c r="H22" s="28"/>
      <c r="I22" s="28"/>
      <c r="J22" s="28"/>
      <c r="K22" s="28"/>
      <c r="L22" s="28"/>
      <c r="M22" s="28"/>
      <c r="N22" s="28"/>
      <c r="O22" s="28"/>
      <c r="P22" s="133"/>
    </row>
    <row r="23" spans="2:16" x14ac:dyDescent="0.35">
      <c r="B23" s="132"/>
      <c r="C23" s="185" t="s">
        <v>248</v>
      </c>
      <c r="D23" s="48">
        <v>5</v>
      </c>
      <c r="E23" s="48"/>
      <c r="F23" s="48">
        <v>5</v>
      </c>
      <c r="G23" s="45"/>
      <c r="H23" s="28"/>
      <c r="I23" s="28"/>
      <c r="J23" s="28"/>
      <c r="K23" s="28"/>
      <c r="L23" s="28"/>
      <c r="M23" s="28"/>
      <c r="N23" s="28"/>
      <c r="O23" s="28"/>
      <c r="P23" s="133"/>
    </row>
    <row r="24" spans="2:16" x14ac:dyDescent="0.35">
      <c r="B24" s="132"/>
      <c r="C24" s="185" t="s">
        <v>268</v>
      </c>
      <c r="D24" s="48">
        <v>5</v>
      </c>
      <c r="E24" s="48"/>
      <c r="F24" s="48">
        <v>5</v>
      </c>
      <c r="G24" s="45"/>
      <c r="H24" s="28"/>
      <c r="I24" s="28"/>
      <c r="J24" s="28"/>
      <c r="K24" s="28"/>
      <c r="L24" s="28"/>
      <c r="M24" s="28"/>
      <c r="N24" s="28"/>
      <c r="O24" s="28"/>
      <c r="P24" s="133"/>
    </row>
    <row r="25" spans="2:16" x14ac:dyDescent="0.35">
      <c r="B25" s="132"/>
      <c r="C25" s="185" t="s">
        <v>249</v>
      </c>
      <c r="D25" s="48">
        <v>5</v>
      </c>
      <c r="E25" s="48"/>
      <c r="F25" s="48">
        <v>5</v>
      </c>
      <c r="G25" s="45"/>
      <c r="H25" s="28"/>
      <c r="I25" s="28"/>
      <c r="J25" s="28"/>
      <c r="K25" s="28"/>
      <c r="L25" s="28"/>
      <c r="M25" s="28"/>
      <c r="N25" s="28"/>
      <c r="O25" s="28"/>
      <c r="P25" s="133"/>
    </row>
    <row r="26" spans="2:16" x14ac:dyDescent="0.35">
      <c r="B26" s="132"/>
      <c r="C26" s="185" t="s">
        <v>250</v>
      </c>
      <c r="D26" s="48">
        <v>5</v>
      </c>
      <c r="E26" s="48"/>
      <c r="F26" s="48">
        <v>5</v>
      </c>
      <c r="G26" s="45"/>
      <c r="H26" s="28"/>
      <c r="I26" s="28"/>
      <c r="J26" s="28"/>
      <c r="K26" s="28"/>
      <c r="L26" s="28"/>
      <c r="M26" s="28"/>
      <c r="N26" s="28"/>
      <c r="O26" s="28"/>
      <c r="P26" s="133"/>
    </row>
    <row r="27" spans="2:16" x14ac:dyDescent="0.35">
      <c r="B27" s="132"/>
      <c r="C27" s="185" t="s">
        <v>251</v>
      </c>
      <c r="D27" s="48">
        <v>5</v>
      </c>
      <c r="E27" s="48"/>
      <c r="F27" s="48">
        <v>5</v>
      </c>
      <c r="G27" s="45"/>
      <c r="H27" s="28"/>
      <c r="I27" s="28"/>
      <c r="J27" s="28"/>
      <c r="K27" s="28"/>
      <c r="L27" s="28"/>
      <c r="M27" s="28"/>
      <c r="N27" s="28"/>
      <c r="O27" s="28"/>
      <c r="P27" s="133"/>
    </row>
    <row r="28" spans="2:16" x14ac:dyDescent="0.35">
      <c r="B28" s="132"/>
      <c r="C28" s="185" t="s">
        <v>252</v>
      </c>
      <c r="D28" s="48">
        <v>1</v>
      </c>
      <c r="E28" s="48"/>
      <c r="F28" s="48">
        <v>1</v>
      </c>
      <c r="G28" s="45"/>
      <c r="H28" s="28"/>
      <c r="I28" s="28"/>
      <c r="J28" s="28"/>
      <c r="K28" s="28"/>
      <c r="L28" s="28"/>
      <c r="M28" s="28"/>
      <c r="N28" s="28"/>
      <c r="O28" s="28"/>
      <c r="P28" s="133"/>
    </row>
    <row r="29" spans="2:16" x14ac:dyDescent="0.35">
      <c r="B29" s="132"/>
      <c r="C29" s="185" t="s">
        <v>253</v>
      </c>
      <c r="D29" s="48">
        <v>5</v>
      </c>
      <c r="E29" s="48"/>
      <c r="F29" s="48">
        <v>5</v>
      </c>
      <c r="G29" s="45"/>
      <c r="H29" s="28"/>
      <c r="I29" s="28"/>
      <c r="J29" s="28"/>
      <c r="K29" s="28"/>
      <c r="L29" s="28"/>
      <c r="M29" s="28"/>
      <c r="N29" s="28"/>
      <c r="O29" s="28"/>
      <c r="P29" s="133"/>
    </row>
    <row r="30" spans="2:16" x14ac:dyDescent="0.35">
      <c r="B30" s="132"/>
      <c r="C30" s="185" t="s">
        <v>254</v>
      </c>
      <c r="D30" s="48">
        <v>5</v>
      </c>
      <c r="E30" s="48"/>
      <c r="F30" s="48">
        <v>5</v>
      </c>
      <c r="G30" s="45"/>
      <c r="H30" s="28"/>
      <c r="I30" s="28"/>
      <c r="J30" s="28"/>
      <c r="K30" s="28"/>
      <c r="L30" s="28"/>
      <c r="M30" s="28"/>
      <c r="N30" s="28"/>
      <c r="O30" s="28"/>
      <c r="P30" s="133"/>
    </row>
    <row r="31" spans="2:16" x14ac:dyDescent="0.35">
      <c r="B31" s="132"/>
      <c r="C31" s="185" t="s">
        <v>255</v>
      </c>
      <c r="D31" s="48">
        <v>5</v>
      </c>
      <c r="E31" s="48"/>
      <c r="F31" s="48">
        <v>5</v>
      </c>
      <c r="G31" s="45"/>
      <c r="H31" s="28"/>
      <c r="I31" s="28"/>
      <c r="J31" s="28"/>
      <c r="K31" s="28"/>
      <c r="L31" s="28"/>
      <c r="M31" s="28"/>
      <c r="N31" s="28"/>
      <c r="O31" s="28"/>
      <c r="P31" s="133"/>
    </row>
    <row r="32" spans="2:16" x14ac:dyDescent="0.35">
      <c r="B32" s="132"/>
      <c r="C32" s="185" t="s">
        <v>256</v>
      </c>
      <c r="D32" s="48">
        <v>5</v>
      </c>
      <c r="E32" s="48"/>
      <c r="F32" s="48">
        <v>5</v>
      </c>
      <c r="G32" s="45"/>
      <c r="H32" s="28"/>
      <c r="I32" s="28"/>
      <c r="J32" s="28"/>
      <c r="K32" s="28"/>
      <c r="L32" s="28"/>
      <c r="M32" s="28"/>
      <c r="N32" s="28"/>
      <c r="O32" s="28"/>
      <c r="P32" s="133"/>
    </row>
    <row r="33" spans="2:16" x14ac:dyDescent="0.35">
      <c r="B33" s="132"/>
      <c r="C33" s="185" t="s">
        <v>257</v>
      </c>
      <c r="D33" s="48">
        <v>5</v>
      </c>
      <c r="E33" s="48"/>
      <c r="F33" s="48">
        <v>5</v>
      </c>
      <c r="G33" s="45"/>
      <c r="H33" s="28"/>
      <c r="I33" s="28"/>
      <c r="J33" s="28"/>
      <c r="K33" s="28"/>
      <c r="L33" s="28"/>
      <c r="M33" s="28"/>
      <c r="N33" s="28"/>
      <c r="O33" s="28"/>
      <c r="P33" s="133"/>
    </row>
    <row r="34" spans="2:16" x14ac:dyDescent="0.35">
      <c r="B34" s="132"/>
      <c r="C34" s="185" t="s">
        <v>258</v>
      </c>
      <c r="D34" s="48">
        <v>5</v>
      </c>
      <c r="E34" s="48"/>
      <c r="F34" s="48">
        <v>5</v>
      </c>
      <c r="G34" s="45"/>
      <c r="H34" s="28"/>
      <c r="I34" s="28"/>
      <c r="J34" s="28"/>
      <c r="K34" s="28"/>
      <c r="L34" s="28"/>
      <c r="M34" s="28"/>
      <c r="N34" s="28"/>
      <c r="O34" s="28"/>
      <c r="P34" s="133"/>
    </row>
    <row r="35" spans="2:16" x14ac:dyDescent="0.35">
      <c r="B35" s="132"/>
      <c r="C35" s="185" t="s">
        <v>259</v>
      </c>
      <c r="D35" s="48">
        <v>5</v>
      </c>
      <c r="E35" s="48"/>
      <c r="F35" s="48">
        <v>5</v>
      </c>
      <c r="G35" s="45"/>
      <c r="H35" s="28"/>
      <c r="I35" s="28"/>
      <c r="J35" s="28"/>
      <c r="K35" s="28"/>
      <c r="L35" s="28"/>
      <c r="M35" s="28"/>
      <c r="N35" s="28"/>
      <c r="O35" s="28"/>
      <c r="P35" s="133"/>
    </row>
    <row r="36" spans="2:16" x14ac:dyDescent="0.35">
      <c r="B36" s="132"/>
      <c r="C36" s="185" t="s">
        <v>260</v>
      </c>
      <c r="D36" s="48">
        <v>5</v>
      </c>
      <c r="E36" s="48"/>
      <c r="F36" s="48">
        <v>5</v>
      </c>
      <c r="G36" s="45"/>
      <c r="H36" s="28"/>
      <c r="I36" s="28"/>
      <c r="J36" s="28"/>
      <c r="K36" s="28"/>
      <c r="L36" s="28"/>
      <c r="M36" s="28"/>
      <c r="N36" s="28"/>
      <c r="O36" s="28"/>
      <c r="P36" s="133"/>
    </row>
    <row r="37" spans="2:16" x14ac:dyDescent="0.35">
      <c r="B37" s="132"/>
      <c r="C37" s="185" t="s">
        <v>261</v>
      </c>
      <c r="D37" s="48">
        <v>5</v>
      </c>
      <c r="E37" s="48"/>
      <c r="F37" s="48">
        <v>5</v>
      </c>
      <c r="G37" s="45"/>
      <c r="H37" s="28"/>
      <c r="I37" s="28"/>
      <c r="J37" s="28"/>
      <c r="K37" s="28"/>
      <c r="L37" s="28"/>
      <c r="M37" s="28"/>
      <c r="N37" s="28"/>
      <c r="O37" s="28"/>
      <c r="P37" s="133"/>
    </row>
    <row r="38" spans="2:16" x14ac:dyDescent="0.35">
      <c r="B38" s="132"/>
      <c r="C38" s="185" t="s">
        <v>262</v>
      </c>
      <c r="D38" s="48">
        <v>5</v>
      </c>
      <c r="E38" s="48"/>
      <c r="F38" s="48">
        <v>5</v>
      </c>
      <c r="G38" s="45"/>
      <c r="H38" s="28"/>
      <c r="I38" s="28"/>
      <c r="J38" s="28"/>
      <c r="K38" s="28"/>
      <c r="L38" s="28"/>
      <c r="M38" s="28"/>
      <c r="N38" s="28"/>
      <c r="O38" s="28"/>
      <c r="P38" s="133"/>
    </row>
    <row r="39" spans="2:16" x14ac:dyDescent="0.35">
      <c r="B39" s="132"/>
      <c r="C39" s="185" t="s">
        <v>263</v>
      </c>
      <c r="D39" s="48">
        <v>5</v>
      </c>
      <c r="E39" s="48"/>
      <c r="F39" s="48">
        <v>5</v>
      </c>
      <c r="G39" s="45"/>
      <c r="H39" s="28"/>
      <c r="I39" s="28"/>
      <c r="J39" s="28"/>
      <c r="K39" s="28"/>
      <c r="L39" s="28"/>
      <c r="M39" s="28"/>
      <c r="N39" s="28"/>
      <c r="O39" s="28"/>
      <c r="P39" s="133"/>
    </row>
    <row r="40" spans="2:16" x14ac:dyDescent="0.35">
      <c r="B40" s="132"/>
      <c r="C40" s="185" t="s">
        <v>269</v>
      </c>
      <c r="D40" s="48">
        <v>5</v>
      </c>
      <c r="E40" s="48"/>
      <c r="F40" s="48">
        <v>5</v>
      </c>
      <c r="G40" s="45"/>
      <c r="H40" s="28"/>
      <c r="I40" s="28"/>
      <c r="J40" s="28"/>
      <c r="K40" s="28"/>
      <c r="L40" s="28"/>
      <c r="M40" s="28"/>
      <c r="N40" s="28"/>
      <c r="O40" s="28"/>
      <c r="P40" s="133"/>
    </row>
    <row r="41" spans="2:16" x14ac:dyDescent="0.35">
      <c r="B41" s="132"/>
      <c r="C41" s="185" t="s">
        <v>264</v>
      </c>
      <c r="D41" s="48">
        <v>5</v>
      </c>
      <c r="E41" s="48"/>
      <c r="F41" s="48">
        <v>5</v>
      </c>
      <c r="G41" s="45"/>
      <c r="H41" s="28"/>
      <c r="I41" s="28"/>
      <c r="J41" s="28"/>
      <c r="K41" s="28"/>
      <c r="L41" s="28"/>
      <c r="M41" s="28"/>
      <c r="N41" s="28"/>
      <c r="O41" s="28"/>
      <c r="P41" s="133"/>
    </row>
    <row r="42" spans="2:16" x14ac:dyDescent="0.35">
      <c r="B42" s="132"/>
      <c r="C42" s="185" t="s">
        <v>265</v>
      </c>
      <c r="D42" s="48">
        <v>5</v>
      </c>
      <c r="E42" s="48"/>
      <c r="F42" s="48">
        <v>1.5</v>
      </c>
      <c r="G42" s="45"/>
      <c r="H42" s="28"/>
      <c r="I42" s="28"/>
      <c r="J42" s="28"/>
      <c r="K42" s="28"/>
      <c r="L42" s="28"/>
      <c r="M42" s="28"/>
      <c r="N42" s="28"/>
      <c r="O42" s="28"/>
      <c r="P42" s="133"/>
    </row>
    <row r="43" spans="2:16" x14ac:dyDescent="0.35">
      <c r="B43" s="132"/>
      <c r="C43" s="185" t="s">
        <v>220</v>
      </c>
      <c r="D43" s="48">
        <v>5</v>
      </c>
      <c r="E43" s="48"/>
      <c r="F43" s="48">
        <v>5</v>
      </c>
      <c r="G43" s="45"/>
      <c r="H43" s="28"/>
      <c r="I43" s="28"/>
      <c r="J43" s="28"/>
      <c r="K43" s="28"/>
      <c r="L43" s="28"/>
      <c r="M43" s="28"/>
      <c r="N43" s="28"/>
      <c r="O43" s="28"/>
      <c r="P43" s="133"/>
    </row>
    <row r="44" spans="2:16" x14ac:dyDescent="0.35">
      <c r="B44" s="132"/>
      <c r="C44" s="185" t="s">
        <v>266</v>
      </c>
      <c r="D44" s="48">
        <v>5</v>
      </c>
      <c r="E44" s="48"/>
      <c r="F44" s="48">
        <v>5</v>
      </c>
      <c r="G44" s="45"/>
      <c r="H44" s="28"/>
      <c r="I44" s="28"/>
      <c r="J44" s="28"/>
      <c r="K44" s="28"/>
      <c r="L44" s="28"/>
      <c r="M44" s="28"/>
      <c r="N44" s="28"/>
      <c r="O44" s="28"/>
      <c r="P44" s="133"/>
    </row>
    <row r="45" spans="2:16" x14ac:dyDescent="0.35">
      <c r="B45" s="132"/>
      <c r="C45" s="185" t="s">
        <v>107</v>
      </c>
      <c r="D45" s="48">
        <v>9.6999999999999993</v>
      </c>
      <c r="E45" s="48"/>
      <c r="F45" s="48">
        <v>9.6999999999999993</v>
      </c>
      <c r="G45" s="45"/>
      <c r="H45" s="28"/>
      <c r="I45" s="28"/>
      <c r="J45" s="28"/>
      <c r="K45" s="28"/>
      <c r="L45" s="28"/>
      <c r="M45" s="28"/>
      <c r="N45" s="28"/>
      <c r="O45" s="28"/>
      <c r="P45" s="133"/>
    </row>
    <row r="46" spans="2:16" x14ac:dyDescent="0.35">
      <c r="B46" s="132"/>
      <c r="C46" s="185" t="s">
        <v>100</v>
      </c>
      <c r="D46" s="48">
        <v>11.6</v>
      </c>
      <c r="E46" s="48"/>
      <c r="F46" s="48">
        <v>11.6</v>
      </c>
      <c r="G46" s="45"/>
      <c r="H46" s="28"/>
      <c r="I46" s="28"/>
      <c r="J46" s="28"/>
      <c r="K46" s="28"/>
      <c r="L46" s="28"/>
      <c r="M46" s="28"/>
      <c r="N46" s="28"/>
      <c r="O46" s="28"/>
      <c r="P46" s="133"/>
    </row>
    <row r="47" spans="2:16" x14ac:dyDescent="0.35">
      <c r="B47" s="132"/>
      <c r="C47" s="185" t="s">
        <v>108</v>
      </c>
      <c r="D47" s="48"/>
      <c r="E47" s="48"/>
      <c r="F47" s="48"/>
      <c r="G47" s="41"/>
      <c r="H47" s="28"/>
      <c r="I47" s="28"/>
      <c r="J47" s="28"/>
      <c r="K47" s="28"/>
      <c r="L47" s="28"/>
      <c r="M47" s="28"/>
      <c r="N47" s="28"/>
      <c r="O47" s="28"/>
      <c r="P47" s="133"/>
    </row>
    <row r="48" spans="2:16" x14ac:dyDescent="0.35">
      <c r="B48" s="132"/>
      <c r="C48" s="185" t="s">
        <v>109</v>
      </c>
      <c r="D48" s="48"/>
      <c r="E48" s="48"/>
      <c r="F48" s="48"/>
      <c r="G48" s="41"/>
      <c r="H48" s="28"/>
      <c r="I48" s="28"/>
      <c r="J48" s="28"/>
      <c r="K48" s="28"/>
      <c r="L48" s="28"/>
      <c r="M48" s="28"/>
      <c r="N48" s="28"/>
      <c r="O48" s="28"/>
      <c r="P48" s="133"/>
    </row>
    <row r="49" spans="2:16" x14ac:dyDescent="0.35">
      <c r="B49" s="132"/>
      <c r="C49" s="28"/>
      <c r="D49" s="28"/>
      <c r="E49" s="28"/>
      <c r="F49" s="28"/>
      <c r="G49" s="28"/>
      <c r="H49" s="28"/>
      <c r="I49" s="28"/>
      <c r="J49" s="28"/>
      <c r="K49" s="28"/>
      <c r="L49" s="28"/>
      <c r="M49" s="28"/>
      <c r="N49" s="28"/>
      <c r="O49" s="28"/>
      <c r="P49" s="133"/>
    </row>
    <row r="50" spans="2:16" x14ac:dyDescent="0.35">
      <c r="B50" s="132"/>
      <c r="C50" s="28" t="s">
        <v>122</v>
      </c>
      <c r="D50" s="28"/>
      <c r="E50" s="28"/>
      <c r="F50" s="28"/>
      <c r="G50" s="28"/>
      <c r="H50" s="28"/>
      <c r="I50" s="28"/>
      <c r="J50" s="28"/>
      <c r="K50" s="28"/>
      <c r="L50" s="28"/>
      <c r="M50" s="28"/>
      <c r="N50" s="28"/>
      <c r="O50" s="28"/>
      <c r="P50" s="133"/>
    </row>
    <row r="51" spans="2:16" ht="28.5" thickBot="1" x14ac:dyDescent="0.4">
      <c r="B51" s="132"/>
      <c r="C51" s="36" t="s">
        <v>0</v>
      </c>
      <c r="D51" s="36" t="s">
        <v>1</v>
      </c>
      <c r="E51" s="36" t="s">
        <v>92</v>
      </c>
      <c r="F51" s="36" t="s">
        <v>2</v>
      </c>
      <c r="G51" s="36" t="s">
        <v>3</v>
      </c>
      <c r="H51" s="36" t="s">
        <v>4</v>
      </c>
      <c r="I51" s="36" t="s">
        <v>224</v>
      </c>
      <c r="J51" s="50" t="s">
        <v>95</v>
      </c>
      <c r="K51" s="36" t="s">
        <v>206</v>
      </c>
      <c r="L51" s="44" t="s">
        <v>186</v>
      </c>
      <c r="M51" s="50" t="s">
        <v>187</v>
      </c>
      <c r="N51" s="36" t="s">
        <v>184</v>
      </c>
      <c r="O51" s="130" t="s">
        <v>185</v>
      </c>
      <c r="P51" s="133"/>
    </row>
    <row r="52" spans="2:16" ht="17.25" customHeight="1" thickTop="1" x14ac:dyDescent="0.35">
      <c r="B52" s="132"/>
      <c r="C52" s="186" t="s">
        <v>283</v>
      </c>
      <c r="D52" s="186" t="s">
        <v>7</v>
      </c>
      <c r="E52" s="186" t="b">
        <v>1</v>
      </c>
      <c r="F52" s="186" t="s">
        <v>8</v>
      </c>
      <c r="G52" s="186" t="s">
        <v>9</v>
      </c>
      <c r="H52" s="37" t="str">
        <f>C52&amp;"|"&amp;D52&amp;"|"&amp;E52&amp;"|"&amp;F52&amp;"|"&amp;G52</f>
        <v>Arrow, Lugg and Frome|Cereals|TRUE|600to700|FreeDrain</v>
      </c>
      <c r="I52" s="181">
        <v>5.2636888827832254E-2</v>
      </c>
      <c r="J52" s="181">
        <v>24.702660483442958</v>
      </c>
      <c r="K52" s="37" t="str">
        <f t="shared" ref="K52:K75" si="0">D52&amp;"|"&amp;F52</f>
        <v>Cereals|600to700</v>
      </c>
      <c r="L52" s="181">
        <f>AVERAGE(I52:I53,H219)</f>
        <v>0.17515612982182477</v>
      </c>
      <c r="M52" s="181">
        <f>AVERAGE(J52:J53,I219)</f>
        <v>14.490526053185775</v>
      </c>
      <c r="N52" s="197">
        <f>AVERAGE(I52:I62,I131:I142)</f>
        <v>0.50321692585940914</v>
      </c>
      <c r="O52" s="200">
        <f>AVERAGE(J52:J62,J131:J142)</f>
        <v>25.576562074293484</v>
      </c>
      <c r="P52" s="133"/>
    </row>
    <row r="53" spans="2:16" x14ac:dyDescent="0.35">
      <c r="B53" s="132"/>
      <c r="C53" s="186" t="s">
        <v>283</v>
      </c>
      <c r="D53" s="186" t="s">
        <v>7</v>
      </c>
      <c r="E53" s="186" t="b">
        <v>1</v>
      </c>
      <c r="F53" s="186" t="s">
        <v>8</v>
      </c>
      <c r="G53" s="186" t="s">
        <v>10</v>
      </c>
      <c r="H53" s="37" t="str">
        <f t="shared" ref="H53:H83" si="1">C53&amp;"|"&amp;D53&amp;"|"&amp;E53&amp;"|"&amp;F53&amp;"|"&amp;G53</f>
        <v>Arrow, Lugg and Frome|Cereals|TRUE|600to700|DrainedAr</v>
      </c>
      <c r="I53" s="128">
        <v>0.2976753708158173</v>
      </c>
      <c r="J53" s="128">
        <v>18.262505776323277</v>
      </c>
      <c r="K53" s="37" t="str">
        <f t="shared" si="0"/>
        <v>Cereals|600to700</v>
      </c>
      <c r="L53" s="128"/>
      <c r="M53" s="128"/>
      <c r="N53" s="52"/>
      <c r="O53" s="49"/>
      <c r="P53" s="133"/>
    </row>
    <row r="54" spans="2:16" x14ac:dyDescent="0.35">
      <c r="B54" s="132"/>
      <c r="C54" s="186" t="s">
        <v>283</v>
      </c>
      <c r="D54" s="186" t="s">
        <v>7</v>
      </c>
      <c r="E54" s="186" t="b">
        <v>0</v>
      </c>
      <c r="F54" s="186" t="s">
        <v>12</v>
      </c>
      <c r="G54" s="186" t="s">
        <v>9</v>
      </c>
      <c r="H54" s="37" t="str">
        <f t="shared" si="1"/>
        <v>Arrow, Lugg and Frome|Cereals|FALSE|700to900|FreeDrain</v>
      </c>
      <c r="I54" s="128">
        <v>0.14289999325874086</v>
      </c>
      <c r="J54" s="128">
        <v>29.781766748361832</v>
      </c>
      <c r="K54" s="37" t="str">
        <f t="shared" si="0"/>
        <v>Cereals|700to900</v>
      </c>
      <c r="L54" s="128">
        <f>AVERAGE(I55:I56,I58)</f>
        <v>0.56187540403196501</v>
      </c>
      <c r="M54" s="128">
        <f>AVERAGE(J55:J56,J58)</f>
        <v>24.81512273894548</v>
      </c>
      <c r="N54" s="52"/>
      <c r="O54" s="49"/>
      <c r="P54" s="133"/>
    </row>
    <row r="55" spans="2:16" x14ac:dyDescent="0.35">
      <c r="B55" s="132"/>
      <c r="C55" s="186" t="s">
        <v>283</v>
      </c>
      <c r="D55" s="186" t="s">
        <v>7</v>
      </c>
      <c r="E55" s="186" t="b">
        <v>1</v>
      </c>
      <c r="F55" s="186" t="s">
        <v>12</v>
      </c>
      <c r="G55" s="186" t="s">
        <v>9</v>
      </c>
      <c r="H55" s="37" t="str">
        <f t="shared" si="1"/>
        <v>Arrow, Lugg and Frome|Cereals|TRUE|700to900|FreeDrain</v>
      </c>
      <c r="I55" s="128">
        <v>0.14288913058467281</v>
      </c>
      <c r="J55" s="128">
        <v>29.681910739239427</v>
      </c>
      <c r="K55" s="37" t="str">
        <f t="shared" si="0"/>
        <v>Cereals|700to900</v>
      </c>
      <c r="L55" s="128"/>
      <c r="M55" s="128"/>
      <c r="N55" s="52"/>
      <c r="O55" s="49"/>
      <c r="P55" s="133"/>
    </row>
    <row r="56" spans="2:16" x14ac:dyDescent="0.35">
      <c r="B56" s="132"/>
      <c r="C56" s="186" t="s">
        <v>283</v>
      </c>
      <c r="D56" s="186" t="s">
        <v>7</v>
      </c>
      <c r="E56" s="186" t="b">
        <v>0</v>
      </c>
      <c r="F56" s="186" t="s">
        <v>12</v>
      </c>
      <c r="G56" s="186" t="s">
        <v>10</v>
      </c>
      <c r="H56" s="37" t="str">
        <f t="shared" si="1"/>
        <v>Arrow, Lugg and Frome|Cereals|FALSE|700to900|DrainedAr</v>
      </c>
      <c r="I56" s="128">
        <v>0.64425852656367799</v>
      </c>
      <c r="J56" s="128">
        <v>23.033575954742926</v>
      </c>
      <c r="K56" s="37" t="str">
        <f t="shared" si="0"/>
        <v>Cereals|700to900</v>
      </c>
      <c r="L56" s="128"/>
      <c r="M56" s="128"/>
      <c r="N56" s="52"/>
      <c r="O56" s="49"/>
      <c r="P56" s="133"/>
    </row>
    <row r="57" spans="2:16" x14ac:dyDescent="0.35">
      <c r="B57" s="132"/>
      <c r="C57" s="186" t="s">
        <v>283</v>
      </c>
      <c r="D57" s="186" t="s">
        <v>7</v>
      </c>
      <c r="E57" s="186" t="b">
        <v>1</v>
      </c>
      <c r="F57" s="186" t="s">
        <v>12</v>
      </c>
      <c r="G57" s="186" t="s">
        <v>10</v>
      </c>
      <c r="H57" s="37" t="str">
        <f t="shared" si="1"/>
        <v>Arrow, Lugg and Frome|Cereals|TRUE|700to900|DrainedAr</v>
      </c>
      <c r="I57" s="128">
        <v>0.6442083180157826</v>
      </c>
      <c r="J57" s="128">
        <v>22.963420612520896</v>
      </c>
      <c r="K57" s="37" t="str">
        <f t="shared" si="0"/>
        <v>Cereals|700to900</v>
      </c>
      <c r="L57" s="128"/>
      <c r="M57" s="128"/>
      <c r="N57" s="52"/>
      <c r="O57" s="49"/>
      <c r="P57" s="133"/>
    </row>
    <row r="58" spans="2:16" x14ac:dyDescent="0.35">
      <c r="B58" s="132"/>
      <c r="C58" s="186" t="s">
        <v>283</v>
      </c>
      <c r="D58" s="186" t="s">
        <v>7</v>
      </c>
      <c r="E58" s="186" t="b">
        <v>0</v>
      </c>
      <c r="F58" s="186" t="s">
        <v>12</v>
      </c>
      <c r="G58" s="186" t="s">
        <v>11</v>
      </c>
      <c r="H58" s="37" t="str">
        <f t="shared" si="1"/>
        <v>Arrow, Lugg and Frome|Cereals|FALSE|700to900|DrainedArGr</v>
      </c>
      <c r="I58" s="128">
        <v>0.89847855494754425</v>
      </c>
      <c r="J58" s="128">
        <v>21.729881522854093</v>
      </c>
      <c r="K58" s="37" t="str">
        <f t="shared" si="0"/>
        <v>Cereals|700to900</v>
      </c>
      <c r="L58" s="128"/>
      <c r="M58" s="128"/>
      <c r="N58" s="52"/>
      <c r="O58" s="49"/>
      <c r="P58" s="133"/>
    </row>
    <row r="59" spans="2:16" x14ac:dyDescent="0.35">
      <c r="B59" s="132"/>
      <c r="C59" s="186" t="s">
        <v>283</v>
      </c>
      <c r="D59" s="186" t="s">
        <v>7</v>
      </c>
      <c r="E59" s="186" t="b">
        <v>1</v>
      </c>
      <c r="F59" s="186" t="s">
        <v>12</v>
      </c>
      <c r="G59" s="186" t="s">
        <v>11</v>
      </c>
      <c r="H59" s="37" t="str">
        <f t="shared" si="1"/>
        <v>Arrow, Lugg and Frome|Cereals|TRUE|700to900|DrainedArGr</v>
      </c>
      <c r="I59" s="128">
        <v>0.89835445347462417</v>
      </c>
      <c r="J59" s="128">
        <v>21.671788449257221</v>
      </c>
      <c r="K59" s="37" t="str">
        <f t="shared" si="0"/>
        <v>Cereals|700to900</v>
      </c>
      <c r="L59" s="128"/>
      <c r="M59" s="128"/>
      <c r="N59" s="52"/>
      <c r="O59" s="49"/>
      <c r="P59" s="133"/>
    </row>
    <row r="60" spans="2:16" x14ac:dyDescent="0.35">
      <c r="B60" s="132"/>
      <c r="C60" s="186" t="s">
        <v>283</v>
      </c>
      <c r="D60" s="186" t="s">
        <v>7</v>
      </c>
      <c r="E60" s="186" t="b">
        <v>0</v>
      </c>
      <c r="F60" s="186" t="s">
        <v>22</v>
      </c>
      <c r="G60" s="186" t="s">
        <v>9</v>
      </c>
      <c r="H60" s="37" t="str">
        <f t="shared" si="1"/>
        <v>Arrow, Lugg and Frome|Cereals|FALSE|900to1200|FreeDrain</v>
      </c>
      <c r="I60" s="128">
        <v>0.24698816812907826</v>
      </c>
      <c r="J60" s="128">
        <v>31.64391832446486</v>
      </c>
      <c r="K60" s="37" t="str">
        <f t="shared" si="0"/>
        <v>Cereals|900to1200</v>
      </c>
      <c r="L60" s="128">
        <f>AVERAGE(I60,I62,I230)</f>
        <v>0.9789113607691956</v>
      </c>
      <c r="M60" s="128">
        <f>AVERAGE(J60,J62,J230)</f>
        <v>28.734189996980572</v>
      </c>
      <c r="N60" s="198"/>
      <c r="O60" s="201"/>
      <c r="P60" s="133"/>
    </row>
    <row r="61" spans="2:16" x14ac:dyDescent="0.35">
      <c r="B61" s="132"/>
      <c r="C61" s="186" t="s">
        <v>283</v>
      </c>
      <c r="D61" s="186" t="s">
        <v>7</v>
      </c>
      <c r="E61" s="186" t="b">
        <v>1</v>
      </c>
      <c r="F61" s="186" t="s">
        <v>22</v>
      </c>
      <c r="G61" s="186" t="s">
        <v>9</v>
      </c>
      <c r="H61" s="37" t="str">
        <f t="shared" si="1"/>
        <v>Arrow, Lugg and Frome|Cereals|TRUE|900to1200|FreeDrain</v>
      </c>
      <c r="I61" s="128">
        <v>0.24697470213641265</v>
      </c>
      <c r="J61" s="128">
        <v>31.539007431264878</v>
      </c>
      <c r="K61" s="37" t="str">
        <f t="shared" si="0"/>
        <v>Cereals|900to1200</v>
      </c>
      <c r="L61" s="128"/>
      <c r="M61" s="128"/>
      <c r="N61" s="128"/>
      <c r="O61" s="49"/>
      <c r="P61" s="133"/>
    </row>
    <row r="62" spans="2:16" x14ac:dyDescent="0.35">
      <c r="B62" s="132"/>
      <c r="C62" s="186" t="s">
        <v>283</v>
      </c>
      <c r="D62" s="186" t="s">
        <v>7</v>
      </c>
      <c r="E62" s="186" t="b">
        <v>1</v>
      </c>
      <c r="F62" s="186" t="s">
        <v>22</v>
      </c>
      <c r="G62" s="186" t="s">
        <v>10</v>
      </c>
      <c r="H62" s="37" t="str">
        <f t="shared" si="1"/>
        <v>Arrow, Lugg and Frome|Cereals|TRUE|900to1200|DrainedAr</v>
      </c>
      <c r="I62" s="128">
        <v>1.2163835686985738</v>
      </c>
      <c r="J62" s="128">
        <v>29.439579617167151</v>
      </c>
      <c r="K62" s="37" t="str">
        <f t="shared" si="0"/>
        <v>Cereals|900to1200</v>
      </c>
      <c r="L62" s="128"/>
      <c r="M62" s="128"/>
      <c r="N62" s="128"/>
      <c r="O62" s="49"/>
      <c r="P62" s="133"/>
    </row>
    <row r="63" spans="2:16" x14ac:dyDescent="0.35">
      <c r="B63" s="132"/>
      <c r="C63" s="186" t="s">
        <v>283</v>
      </c>
      <c r="D63" s="186" t="s">
        <v>25</v>
      </c>
      <c r="E63" s="186" t="b">
        <v>1</v>
      </c>
      <c r="F63" s="186" t="s">
        <v>8</v>
      </c>
      <c r="G63" s="186" t="s">
        <v>9</v>
      </c>
      <c r="H63" s="37" t="str">
        <f t="shared" si="1"/>
        <v>Arrow, Lugg and Frome|General|TRUE|600to700|FreeDrain</v>
      </c>
      <c r="I63" s="128">
        <v>4.4876686606708384E-2</v>
      </c>
      <c r="J63" s="128">
        <v>23.326978112045751</v>
      </c>
      <c r="K63" s="37" t="str">
        <f t="shared" si="0"/>
        <v>General|600to700</v>
      </c>
      <c r="L63" s="128">
        <f>AVERAGE(I63:I64,I233)</f>
        <v>0.24471737092323623</v>
      </c>
      <c r="M63" s="128">
        <f>AVERAGE(J63:J64,J233)</f>
        <v>18.988509499320031</v>
      </c>
      <c r="N63" s="199">
        <f>AVERAGE(I63:I72,I143:I155)</f>
        <v>0.42207560077286743</v>
      </c>
      <c r="O63" s="202">
        <f>AVERAGE(J63:J72,J143:J155)</f>
        <v>23.636537815224049</v>
      </c>
      <c r="P63" s="133"/>
    </row>
    <row r="64" spans="2:16" x14ac:dyDescent="0.35">
      <c r="B64" s="132"/>
      <c r="C64" s="186" t="s">
        <v>283</v>
      </c>
      <c r="D64" s="186" t="s">
        <v>25</v>
      </c>
      <c r="E64" s="186" t="b">
        <v>1</v>
      </c>
      <c r="F64" s="186" t="s">
        <v>8</v>
      </c>
      <c r="G64" s="186" t="s">
        <v>10</v>
      </c>
      <c r="H64" s="37" t="str">
        <f t="shared" si="1"/>
        <v>Arrow, Lugg and Frome|General|TRUE|600to700|DrainedAr</v>
      </c>
      <c r="I64" s="128">
        <v>0.24166881140783503</v>
      </c>
      <c r="J64" s="128">
        <v>16.341837484909714</v>
      </c>
      <c r="K64" s="37" t="str">
        <f t="shared" si="0"/>
        <v>General|600to700</v>
      </c>
      <c r="L64" s="128"/>
      <c r="M64" s="128"/>
      <c r="N64" s="128"/>
      <c r="O64" s="49"/>
      <c r="P64" s="133"/>
    </row>
    <row r="65" spans="2:16" x14ac:dyDescent="0.35">
      <c r="B65" s="132"/>
      <c r="C65" s="186" t="s">
        <v>283</v>
      </c>
      <c r="D65" s="186" t="s">
        <v>25</v>
      </c>
      <c r="E65" s="186" t="b">
        <v>0</v>
      </c>
      <c r="F65" s="186" t="s">
        <v>12</v>
      </c>
      <c r="G65" s="186" t="s">
        <v>9</v>
      </c>
      <c r="H65" s="37" t="str">
        <f t="shared" si="1"/>
        <v>Arrow, Lugg and Frome|General|FALSE|700to900|FreeDrain</v>
      </c>
      <c r="I65" s="128">
        <v>0.11908406369723411</v>
      </c>
      <c r="J65" s="128">
        <v>27.905896135384943</v>
      </c>
      <c r="K65" s="37" t="str">
        <f t="shared" si="0"/>
        <v>General|700to900</v>
      </c>
      <c r="L65" s="128">
        <f>AVERAGE(I65,I67,I69)</f>
        <v>0.46379517718731628</v>
      </c>
      <c r="M65" s="128">
        <f>AVERAGE(J65,J67,J69)</f>
        <v>22.186536114866005</v>
      </c>
      <c r="N65" s="128"/>
      <c r="O65" s="49"/>
      <c r="P65" s="133"/>
    </row>
    <row r="66" spans="2:16" x14ac:dyDescent="0.35">
      <c r="B66" s="132"/>
      <c r="C66" s="186" t="s">
        <v>283</v>
      </c>
      <c r="D66" s="186" t="s">
        <v>25</v>
      </c>
      <c r="E66" s="186" t="b">
        <v>1</v>
      </c>
      <c r="F66" s="186" t="s">
        <v>12</v>
      </c>
      <c r="G66" s="186" t="s">
        <v>9</v>
      </c>
      <c r="H66" s="37" t="str">
        <f t="shared" si="1"/>
        <v>Arrow, Lugg and Frome|General|TRUE|700to900|FreeDrain</v>
      </c>
      <c r="I66" s="128">
        <v>0.11908406369723411</v>
      </c>
      <c r="J66" s="128">
        <v>27.825479694084795</v>
      </c>
      <c r="K66" s="37" t="str">
        <f t="shared" si="0"/>
        <v>General|700to900</v>
      </c>
      <c r="L66" s="128"/>
      <c r="M66" s="128"/>
      <c r="N66" s="128"/>
      <c r="O66" s="49"/>
      <c r="P66" s="133"/>
    </row>
    <row r="67" spans="2:16" x14ac:dyDescent="0.35">
      <c r="B67" s="132"/>
      <c r="C67" s="186" t="s">
        <v>283</v>
      </c>
      <c r="D67" s="186" t="s">
        <v>25</v>
      </c>
      <c r="E67" s="186" t="b">
        <v>0</v>
      </c>
      <c r="F67" s="186" t="s">
        <v>12</v>
      </c>
      <c r="G67" s="186" t="s">
        <v>10</v>
      </c>
      <c r="H67" s="37" t="str">
        <f t="shared" si="1"/>
        <v>Arrow, Lugg and Frome|General|FALSE|700to900|DrainedAr</v>
      </c>
      <c r="I67" s="128">
        <v>0.50444240143349439</v>
      </c>
      <c r="J67" s="128">
        <v>20.39079287757172</v>
      </c>
      <c r="K67" s="37" t="str">
        <f t="shared" si="0"/>
        <v>General|700to900</v>
      </c>
      <c r="L67" s="128"/>
      <c r="M67" s="128"/>
      <c r="N67" s="128"/>
      <c r="O67" s="49"/>
      <c r="P67" s="133"/>
    </row>
    <row r="68" spans="2:16" x14ac:dyDescent="0.35">
      <c r="B68" s="132"/>
      <c r="C68" s="186" t="s">
        <v>283</v>
      </c>
      <c r="D68" s="186" t="s">
        <v>25</v>
      </c>
      <c r="E68" s="186" t="b">
        <v>1</v>
      </c>
      <c r="F68" s="186" t="s">
        <v>12</v>
      </c>
      <c r="G68" s="186" t="s">
        <v>10</v>
      </c>
      <c r="H68" s="37" t="str">
        <f t="shared" si="1"/>
        <v>Arrow, Lugg and Frome|General|TRUE|700to900|DrainedAr</v>
      </c>
      <c r="I68" s="128">
        <v>0.50444240143349439</v>
      </c>
      <c r="J68" s="128">
        <v>20.337706036627928</v>
      </c>
      <c r="K68" s="37" t="str">
        <f t="shared" si="0"/>
        <v>General|700to900</v>
      </c>
      <c r="L68" s="128"/>
      <c r="M68" s="128"/>
      <c r="N68" s="128"/>
      <c r="O68" s="49"/>
      <c r="P68" s="133"/>
    </row>
    <row r="69" spans="2:16" x14ac:dyDescent="0.35">
      <c r="B69" s="132"/>
      <c r="C69" s="186" t="s">
        <v>283</v>
      </c>
      <c r="D69" s="186" t="s">
        <v>25</v>
      </c>
      <c r="E69" s="186" t="b">
        <v>0</v>
      </c>
      <c r="F69" s="186" t="s">
        <v>12</v>
      </c>
      <c r="G69" s="186" t="s">
        <v>11</v>
      </c>
      <c r="H69" s="37" t="str">
        <f t="shared" si="1"/>
        <v>Arrow, Lugg and Frome|General|FALSE|700to900|DrainedArGr</v>
      </c>
      <c r="I69" s="128">
        <v>0.76785906643122026</v>
      </c>
      <c r="J69" s="128">
        <v>18.262919331641349</v>
      </c>
      <c r="K69" s="37" t="str">
        <f t="shared" si="0"/>
        <v>General|700to900</v>
      </c>
      <c r="L69" s="128"/>
      <c r="M69" s="128"/>
      <c r="N69" s="128"/>
      <c r="O69" s="49"/>
      <c r="P69" s="133"/>
    </row>
    <row r="70" spans="2:16" x14ac:dyDescent="0.35">
      <c r="B70" s="132"/>
      <c r="C70" s="186" t="s">
        <v>283</v>
      </c>
      <c r="D70" s="186" t="s">
        <v>25</v>
      </c>
      <c r="E70" s="186" t="b">
        <v>1</v>
      </c>
      <c r="F70" s="186" t="s">
        <v>12</v>
      </c>
      <c r="G70" s="186" t="s">
        <v>11</v>
      </c>
      <c r="H70" s="37" t="str">
        <f t="shared" si="1"/>
        <v>Arrow, Lugg and Frome|General|TRUE|700to900|DrainedArGr</v>
      </c>
      <c r="I70" s="128">
        <v>0.76785906643122026</v>
      </c>
      <c r="J70" s="128">
        <v>18.220484899777809</v>
      </c>
      <c r="K70" s="37" t="str">
        <f t="shared" si="0"/>
        <v>General|700to900</v>
      </c>
      <c r="L70" s="128"/>
      <c r="M70" s="128"/>
      <c r="N70" s="128"/>
      <c r="O70" s="49"/>
      <c r="P70" s="176"/>
    </row>
    <row r="71" spans="2:16" x14ac:dyDescent="0.35">
      <c r="B71" s="132"/>
      <c r="C71" s="186" t="s">
        <v>283</v>
      </c>
      <c r="D71" s="186" t="s">
        <v>25</v>
      </c>
      <c r="E71" s="186" t="b">
        <v>0</v>
      </c>
      <c r="F71" s="186" t="s">
        <v>22</v>
      </c>
      <c r="G71" s="186" t="s">
        <v>9</v>
      </c>
      <c r="H71" s="48" t="str">
        <f t="shared" si="1"/>
        <v>Arrow, Lugg and Frome|General|FALSE|900to1200|FreeDrain</v>
      </c>
      <c r="I71" s="128">
        <v>0.21303287141270724</v>
      </c>
      <c r="J71" s="128">
        <v>29.644833117198491</v>
      </c>
      <c r="K71" s="37" t="str">
        <f t="shared" si="0"/>
        <v>General|900to1200</v>
      </c>
      <c r="L71" s="128">
        <f>AVERAGE(I71,I243:I244)</f>
        <v>0.81142836216019987</v>
      </c>
      <c r="M71" s="128">
        <f>AVERAGE(J71,J243:J244)</f>
        <v>25.57102615868958</v>
      </c>
      <c r="N71" s="128"/>
      <c r="O71" s="49"/>
      <c r="P71" s="133"/>
    </row>
    <row r="72" spans="2:16" x14ac:dyDescent="0.35">
      <c r="B72" s="132"/>
      <c r="C72" s="186" t="s">
        <v>283</v>
      </c>
      <c r="D72" s="186" t="s">
        <v>25</v>
      </c>
      <c r="E72" s="186" t="b">
        <v>1</v>
      </c>
      <c r="F72" s="186" t="s">
        <v>22</v>
      </c>
      <c r="G72" s="186" t="s">
        <v>9</v>
      </c>
      <c r="H72" s="48" t="str">
        <f t="shared" si="1"/>
        <v>Arrow, Lugg and Frome|General|TRUE|900to1200|FreeDrain</v>
      </c>
      <c r="I72" s="128">
        <v>0.21303287141270724</v>
      </c>
      <c r="J72" s="128">
        <v>29.560164079240035</v>
      </c>
      <c r="K72" s="37" t="str">
        <f t="shared" si="0"/>
        <v>General|900to1200</v>
      </c>
      <c r="L72" s="128"/>
      <c r="M72" s="128"/>
      <c r="N72" s="128"/>
      <c r="O72" s="49"/>
      <c r="P72" s="133"/>
    </row>
    <row r="73" spans="2:16" x14ac:dyDescent="0.35">
      <c r="B73" s="132"/>
      <c r="C73" s="186" t="s">
        <v>283</v>
      </c>
      <c r="D73" s="186" t="s">
        <v>32</v>
      </c>
      <c r="E73" s="186" t="b">
        <v>1</v>
      </c>
      <c r="F73" s="186" t="s">
        <v>8</v>
      </c>
      <c r="G73" s="186" t="s">
        <v>9</v>
      </c>
      <c r="H73" s="48" t="str">
        <f t="shared" si="1"/>
        <v>Arrow, Lugg and Frome|Horticulture|TRUE|600to700|FreeDrain</v>
      </c>
      <c r="I73" s="128">
        <v>2.7553289579959547E-2</v>
      </c>
      <c r="J73" s="128">
        <v>12.888720082440388</v>
      </c>
      <c r="K73" s="37" t="str">
        <f t="shared" si="0"/>
        <v>Horticulture|600to700</v>
      </c>
      <c r="L73" s="128">
        <f>AVERAGE(I73:I74,I249)</f>
        <v>0.16546442696295277</v>
      </c>
      <c r="M73" s="128">
        <f>AVERAGE(J73:J74,J249)</f>
        <v>10.521098214351113</v>
      </c>
      <c r="N73" s="199">
        <f>AVERAGE(I73:I81,I156:I166)</f>
        <v>0.29274286973140384</v>
      </c>
      <c r="O73" s="202">
        <f>AVERAGE(J73:J81,J156:J166)</f>
        <v>14.052280057476697</v>
      </c>
      <c r="P73" s="133"/>
    </row>
    <row r="74" spans="2:16" x14ac:dyDescent="0.35">
      <c r="B74" s="132"/>
      <c r="C74" s="186" t="s">
        <v>283</v>
      </c>
      <c r="D74" s="186" t="s">
        <v>32</v>
      </c>
      <c r="E74" s="186" t="b">
        <v>1</v>
      </c>
      <c r="F74" s="186" t="s">
        <v>8</v>
      </c>
      <c r="G74" s="186" t="s">
        <v>10</v>
      </c>
      <c r="H74" s="48" t="str">
        <f t="shared" si="1"/>
        <v>Arrow, Lugg and Frome|Horticulture|TRUE|600to700|DrainedAr</v>
      </c>
      <c r="I74" s="128">
        <v>0.16410862816180838</v>
      </c>
      <c r="J74" s="128">
        <v>8.9357915408111364</v>
      </c>
      <c r="K74" s="37" t="str">
        <f t="shared" si="0"/>
        <v>Horticulture|600to700</v>
      </c>
      <c r="L74" s="128"/>
      <c r="M74" s="128"/>
      <c r="N74" s="128"/>
      <c r="O74" s="49"/>
      <c r="P74" s="133"/>
    </row>
    <row r="75" spans="2:16" x14ac:dyDescent="0.35">
      <c r="B75" s="132"/>
      <c r="C75" s="186" t="s">
        <v>283</v>
      </c>
      <c r="D75" s="186" t="s">
        <v>32</v>
      </c>
      <c r="E75" s="186" t="b">
        <v>0</v>
      </c>
      <c r="F75" s="186" t="s">
        <v>12</v>
      </c>
      <c r="G75" s="186" t="s">
        <v>9</v>
      </c>
      <c r="H75" s="48" t="str">
        <f t="shared" si="1"/>
        <v>Arrow, Lugg and Frome|Horticulture|FALSE|700to900|FreeDrain</v>
      </c>
      <c r="I75" s="128">
        <v>7.7329646536422034E-2</v>
      </c>
      <c r="J75" s="128">
        <v>15.5834835858003</v>
      </c>
      <c r="K75" s="37" t="str">
        <f t="shared" si="0"/>
        <v>Horticulture|700to900</v>
      </c>
      <c r="L75" s="128">
        <f>AVERAGE(I75,I77:I78)</f>
        <v>0.30972367872331313</v>
      </c>
      <c r="M75" s="128">
        <f>AVERAGE(J75,J77:J78)</f>
        <v>12.267353346307766</v>
      </c>
      <c r="N75" s="128"/>
      <c r="O75" s="49"/>
      <c r="P75" s="133"/>
    </row>
    <row r="76" spans="2:16" x14ac:dyDescent="0.35">
      <c r="B76" s="132"/>
      <c r="C76" s="186" t="s">
        <v>283</v>
      </c>
      <c r="D76" s="186" t="s">
        <v>32</v>
      </c>
      <c r="E76" s="186" t="b">
        <v>1</v>
      </c>
      <c r="F76" s="186" t="s">
        <v>12</v>
      </c>
      <c r="G76" s="186" t="s">
        <v>9</v>
      </c>
      <c r="H76" s="48" t="str">
        <f t="shared" si="1"/>
        <v>Arrow, Lugg and Frome|Horticulture|TRUE|700to900|FreeDrain</v>
      </c>
      <c r="I76" s="128">
        <v>7.7329646536422034E-2</v>
      </c>
      <c r="J76" s="128">
        <v>15.541382318261332</v>
      </c>
      <c r="K76" s="37" t="str">
        <f t="shared" ref="K76:K83" si="2">D76&amp;"|"&amp;F76</f>
        <v>Horticulture|700to900</v>
      </c>
      <c r="L76" s="128"/>
      <c r="M76" s="128"/>
      <c r="N76" s="128"/>
      <c r="O76" s="49"/>
      <c r="P76" s="133"/>
    </row>
    <row r="77" spans="2:16" x14ac:dyDescent="0.35">
      <c r="B77" s="132"/>
      <c r="C77" s="186" t="s">
        <v>283</v>
      </c>
      <c r="D77" s="186" t="s">
        <v>32</v>
      </c>
      <c r="E77" s="186" t="b">
        <v>1</v>
      </c>
      <c r="F77" s="186" t="s">
        <v>12</v>
      </c>
      <c r="G77" s="186" t="s">
        <v>10</v>
      </c>
      <c r="H77" s="48" t="str">
        <f t="shared" si="1"/>
        <v>Arrow, Lugg and Frome|Horticulture|TRUE|700to900|DrainedAr</v>
      </c>
      <c r="I77" s="128">
        <v>0.34856935896024577</v>
      </c>
      <c r="J77" s="128">
        <v>11.235558530930854</v>
      </c>
      <c r="K77" s="37" t="str">
        <f t="shared" si="2"/>
        <v>Horticulture|700to900</v>
      </c>
      <c r="L77" s="128"/>
      <c r="M77" s="128"/>
      <c r="N77" s="128"/>
      <c r="O77" s="49"/>
      <c r="P77" s="133"/>
    </row>
    <row r="78" spans="2:16" x14ac:dyDescent="0.35">
      <c r="B78" s="132"/>
      <c r="C78" s="186" t="s">
        <v>283</v>
      </c>
      <c r="D78" s="186" t="s">
        <v>32</v>
      </c>
      <c r="E78" s="186" t="b">
        <v>1</v>
      </c>
      <c r="F78" s="186" t="s">
        <v>12</v>
      </c>
      <c r="G78" s="186" t="s">
        <v>11</v>
      </c>
      <c r="H78" s="48" t="str">
        <f t="shared" si="1"/>
        <v>Arrow, Lugg and Frome|Horticulture|TRUE|700to900|DrainedArGr</v>
      </c>
      <c r="I78" s="128">
        <v>0.50327203067327164</v>
      </c>
      <c r="J78" s="128">
        <v>9.9830179221921433</v>
      </c>
      <c r="K78" s="37" t="str">
        <f t="shared" si="2"/>
        <v>Horticulture|700to900</v>
      </c>
      <c r="L78" s="128"/>
      <c r="M78" s="128"/>
      <c r="N78" s="52"/>
      <c r="O78" s="49"/>
      <c r="P78" s="133"/>
    </row>
    <row r="79" spans="2:16" x14ac:dyDescent="0.35">
      <c r="B79" s="132"/>
      <c r="C79" s="186" t="s">
        <v>283</v>
      </c>
      <c r="D79" s="186" t="s">
        <v>32</v>
      </c>
      <c r="E79" s="186" t="b">
        <v>0</v>
      </c>
      <c r="F79" s="186" t="s">
        <v>22</v>
      </c>
      <c r="G79" s="186" t="s">
        <v>9</v>
      </c>
      <c r="H79" s="48" t="str">
        <f t="shared" si="1"/>
        <v>Arrow, Lugg and Frome|Horticulture|FALSE|900to1200|FreeDrain</v>
      </c>
      <c r="I79" s="128">
        <v>0.14279750335131497</v>
      </c>
      <c r="J79" s="128">
        <v>18.495500374221979</v>
      </c>
      <c r="K79" s="37" t="str">
        <f t="shared" si="2"/>
        <v>Horticulture|900to1200</v>
      </c>
      <c r="L79" s="128">
        <f>AVERAGE(I79,I81,I259)</f>
        <v>0.55840723256894176</v>
      </c>
      <c r="M79" s="128">
        <f>AVERAGE(J79,J81,J259)</f>
        <v>15.909312767270967</v>
      </c>
      <c r="N79" s="52"/>
      <c r="O79" s="49"/>
      <c r="P79" s="133"/>
    </row>
    <row r="80" spans="2:16" x14ac:dyDescent="0.35">
      <c r="B80" s="132"/>
      <c r="C80" s="186" t="s">
        <v>283</v>
      </c>
      <c r="D80" s="186" t="s">
        <v>32</v>
      </c>
      <c r="E80" s="186" t="b">
        <v>1</v>
      </c>
      <c r="F80" s="186" t="s">
        <v>22</v>
      </c>
      <c r="G80" s="186" t="s">
        <v>9</v>
      </c>
      <c r="H80" s="48" t="str">
        <f t="shared" si="1"/>
        <v>Arrow, Lugg and Frome|Horticulture|TRUE|900to1200|FreeDrain</v>
      </c>
      <c r="I80" s="128">
        <v>0.14279750335131497</v>
      </c>
      <c r="J80" s="128">
        <v>18.44708910714148</v>
      </c>
      <c r="K80" s="37" t="str">
        <f t="shared" si="2"/>
        <v>Horticulture|900to1200</v>
      </c>
      <c r="L80" s="128"/>
      <c r="M80" s="128"/>
      <c r="N80" s="52"/>
      <c r="O80" s="49"/>
      <c r="P80" s="133"/>
    </row>
    <row r="81" spans="2:16" x14ac:dyDescent="0.35">
      <c r="B81" s="132"/>
      <c r="C81" s="186" t="s">
        <v>283</v>
      </c>
      <c r="D81" s="186" t="s">
        <v>32</v>
      </c>
      <c r="E81" s="186" t="b">
        <v>0</v>
      </c>
      <c r="F81" s="186" t="s">
        <v>22</v>
      </c>
      <c r="G81" s="186" t="s">
        <v>10</v>
      </c>
      <c r="H81" s="48" t="str">
        <f t="shared" si="1"/>
        <v>Arrow, Lugg and Frome|Horticulture|FALSE|900to1200|DrainedAr</v>
      </c>
      <c r="I81" s="128">
        <v>0.66185889847431112</v>
      </c>
      <c r="J81" s="128">
        <v>15.862127307874946</v>
      </c>
      <c r="K81" s="37" t="str">
        <f t="shared" si="2"/>
        <v>Horticulture|900to1200</v>
      </c>
      <c r="L81" s="128"/>
      <c r="M81" s="128"/>
      <c r="N81" s="52"/>
      <c r="O81" s="49"/>
      <c r="P81" s="133"/>
    </row>
    <row r="82" spans="2:16" x14ac:dyDescent="0.35">
      <c r="B82" s="132"/>
      <c r="C82" s="186" t="s">
        <v>283</v>
      </c>
      <c r="D82" s="186" t="s">
        <v>42</v>
      </c>
      <c r="E82" s="186" t="b">
        <v>1</v>
      </c>
      <c r="F82" s="186" t="s">
        <v>8</v>
      </c>
      <c r="G82" s="186" t="s">
        <v>10</v>
      </c>
      <c r="H82" s="48" t="str">
        <f t="shared" si="1"/>
        <v>Arrow, Lugg and Frome|Pig|TRUE|600to700|DrainedAr</v>
      </c>
      <c r="I82" s="128">
        <v>0.26017441490178012</v>
      </c>
      <c r="J82" s="128">
        <v>39.378207656219075</v>
      </c>
      <c r="K82" s="37" t="str">
        <f t="shared" si="2"/>
        <v>Pig|600to700</v>
      </c>
      <c r="L82" s="128">
        <f>AVERAGE(I82)</f>
        <v>0.26017441490178012</v>
      </c>
      <c r="M82" s="128">
        <f>AVERAGE(J82)</f>
        <v>39.378207656219075</v>
      </c>
      <c r="N82" s="52">
        <f>AVERAGE(I82:I86,I167)</f>
        <v>0.38843413762526247</v>
      </c>
      <c r="O82" s="49">
        <f>AVERAGE(J82:J86,J167)</f>
        <v>57.323437322894442</v>
      </c>
      <c r="P82" s="133"/>
    </row>
    <row r="83" spans="2:16" x14ac:dyDescent="0.35">
      <c r="B83" s="132"/>
      <c r="C83" s="186" t="s">
        <v>283</v>
      </c>
      <c r="D83" s="186" t="s">
        <v>42</v>
      </c>
      <c r="E83" s="186" t="b">
        <v>1</v>
      </c>
      <c r="F83" s="186" t="s">
        <v>12</v>
      </c>
      <c r="G83" s="186" t="s">
        <v>9</v>
      </c>
      <c r="H83" s="48" t="str">
        <f t="shared" si="1"/>
        <v>Arrow, Lugg and Frome|Pig|TRUE|700to900|FreeDrain</v>
      </c>
      <c r="I83" s="128">
        <v>0.15112234192854432</v>
      </c>
      <c r="J83" s="128">
        <v>72.580537070879231</v>
      </c>
      <c r="K83" s="37" t="str">
        <f t="shared" si="2"/>
        <v>Pig|700to900</v>
      </c>
      <c r="L83" s="128">
        <f>AVERAGE(I83:I85)</f>
        <v>0.56100169873328787</v>
      </c>
      <c r="M83" s="128">
        <f>AVERAGE(J83:J85)</f>
        <v>54.936673485110788</v>
      </c>
      <c r="N83" s="52"/>
      <c r="O83" s="49"/>
      <c r="P83" s="133"/>
    </row>
    <row r="84" spans="2:16" x14ac:dyDescent="0.35">
      <c r="B84" s="132"/>
      <c r="C84" s="186" t="s">
        <v>283</v>
      </c>
      <c r="D84" s="186" t="s">
        <v>42</v>
      </c>
      <c r="E84" s="186" t="b">
        <v>1</v>
      </c>
      <c r="F84" s="186" t="s">
        <v>12</v>
      </c>
      <c r="G84" s="186" t="s">
        <v>10</v>
      </c>
      <c r="H84" s="48" t="str">
        <f>C84&amp;"|"&amp;D84&amp;"|"&amp;E84&amp;"|"&amp;F84&amp;"|"&amp;G84</f>
        <v>Arrow, Lugg and Frome|Pig|TRUE|700to900|DrainedAr</v>
      </c>
      <c r="I84" s="128">
        <v>0.54678087868779701</v>
      </c>
      <c r="J84" s="128">
        <v>49.666032843527567</v>
      </c>
      <c r="K84" s="37" t="str">
        <f>D84&amp;"|"&amp;F84</f>
        <v>Pig|700to900</v>
      </c>
      <c r="L84" s="128"/>
      <c r="M84" s="128"/>
      <c r="N84" s="52"/>
      <c r="O84" s="49"/>
      <c r="P84" s="133"/>
    </row>
    <row r="85" spans="2:16" x14ac:dyDescent="0.35">
      <c r="B85" s="132"/>
      <c r="C85" s="186" t="s">
        <v>283</v>
      </c>
      <c r="D85" s="186" t="s">
        <v>42</v>
      </c>
      <c r="E85" s="186" t="b">
        <v>0</v>
      </c>
      <c r="F85" s="186" t="s">
        <v>12</v>
      </c>
      <c r="G85" s="186" t="s">
        <v>11</v>
      </c>
      <c r="H85" s="48" t="str">
        <f>C85&amp;"|"&amp;D85&amp;"|"&amp;E85&amp;"|"&amp;F85&amp;"|"&amp;G85</f>
        <v>Arrow, Lugg and Frome|Pig|FALSE|700to900|DrainedArGr</v>
      </c>
      <c r="I85" s="128">
        <v>0.98510187558352236</v>
      </c>
      <c r="J85" s="128">
        <v>42.563450540925572</v>
      </c>
      <c r="K85" s="37" t="str">
        <f t="shared" ref="K85:K148" si="3">D85&amp;"|"&amp;F85</f>
        <v>Pig|700to900</v>
      </c>
      <c r="L85" s="128"/>
      <c r="M85" s="128"/>
      <c r="N85" s="52"/>
      <c r="O85" s="49"/>
      <c r="P85" s="133"/>
    </row>
    <row r="86" spans="2:16" x14ac:dyDescent="0.35">
      <c r="B86" s="132"/>
      <c r="C86" s="186" t="s">
        <v>283</v>
      </c>
      <c r="D86" s="186" t="s">
        <v>42</v>
      </c>
      <c r="E86" s="186" t="b">
        <v>0</v>
      </c>
      <c r="F86" s="186" t="s">
        <v>22</v>
      </c>
      <c r="G86" s="186" t="s">
        <v>9</v>
      </c>
      <c r="H86" s="48" t="str">
        <f t="shared" ref="H86:H149" si="4">C86&amp;"|"&amp;D86&amp;"|"&amp;E86&amp;"|"&amp;F86&amp;"|"&amp;G86</f>
        <v>Arrow, Lugg and Frome|Pig|FALSE|900to1200|FreeDrain</v>
      </c>
      <c r="I86" s="128">
        <v>0.25402686487833392</v>
      </c>
      <c r="J86" s="128">
        <v>76.223581544878883</v>
      </c>
      <c r="K86" s="37" t="str">
        <f t="shared" si="3"/>
        <v>Pig|900to1200</v>
      </c>
      <c r="L86" s="128">
        <f>AVERAGE(I86,I266)</f>
        <v>0.64437859898873751</v>
      </c>
      <c r="M86" s="128">
        <f>AVERAGE(J86,J266)</f>
        <v>68.913212796174719</v>
      </c>
      <c r="N86" s="52"/>
      <c r="O86" s="49"/>
      <c r="P86" s="133"/>
    </row>
    <row r="87" spans="2:16" x14ac:dyDescent="0.35">
      <c r="B87" s="132"/>
      <c r="C87" s="186" t="s">
        <v>283</v>
      </c>
      <c r="D87" s="186" t="s">
        <v>47</v>
      </c>
      <c r="E87" s="186" t="b">
        <v>1</v>
      </c>
      <c r="F87" s="186" t="s">
        <v>8</v>
      </c>
      <c r="G87" s="186" t="s">
        <v>10</v>
      </c>
      <c r="H87" s="48" t="str">
        <f t="shared" si="4"/>
        <v>Arrow, Lugg and Frome|Poultry|TRUE|600to700|DrainedAr</v>
      </c>
      <c r="I87" s="128">
        <v>0.38480227309799309</v>
      </c>
      <c r="J87" s="128">
        <v>213.48258359191226</v>
      </c>
      <c r="K87" s="37" t="str">
        <f t="shared" si="3"/>
        <v>Poultry|600to700</v>
      </c>
      <c r="L87" s="128">
        <f>AVERAGE(I87,I268)</f>
        <v>0.27037942349455557</v>
      </c>
      <c r="M87" s="128">
        <f>AVERAGE(J87,J268)</f>
        <v>251.5911694311377</v>
      </c>
      <c r="N87" s="52">
        <f>AVERAGE(I87:I94,I168:I176)</f>
        <v>0.69765188777285514</v>
      </c>
      <c r="O87" s="49">
        <f>AVERAGE(J87:J94,J168:J176)</f>
        <v>250.77209464349022</v>
      </c>
      <c r="P87" s="133"/>
    </row>
    <row r="88" spans="2:16" x14ac:dyDescent="0.35">
      <c r="B88" s="132"/>
      <c r="C88" s="186" t="s">
        <v>283</v>
      </c>
      <c r="D88" s="186" t="s">
        <v>47</v>
      </c>
      <c r="E88" s="186" t="b">
        <v>0</v>
      </c>
      <c r="F88" s="186" t="s">
        <v>12</v>
      </c>
      <c r="G88" s="186" t="s">
        <v>9</v>
      </c>
      <c r="H88" s="48" t="str">
        <f t="shared" si="4"/>
        <v>Arrow, Lugg and Frome|Poultry|FALSE|700to900|FreeDrain</v>
      </c>
      <c r="I88" s="128">
        <v>0.3659399887139097</v>
      </c>
      <c r="J88" s="128">
        <v>405.53897981395232</v>
      </c>
      <c r="K88" s="37" t="str">
        <f t="shared" si="3"/>
        <v>Poultry|700to900</v>
      </c>
      <c r="L88" s="128">
        <f>AVERAGE(I88,I90,I92)</f>
        <v>0.86731625333187912</v>
      </c>
      <c r="M88" s="128">
        <f>AVERAGE(J88,J90,J92)</f>
        <v>302.28821558633803</v>
      </c>
      <c r="N88" s="52"/>
      <c r="O88" s="49"/>
      <c r="P88" s="133"/>
    </row>
    <row r="89" spans="2:16" x14ac:dyDescent="0.35">
      <c r="B89" s="132"/>
      <c r="C89" s="186" t="s">
        <v>283</v>
      </c>
      <c r="D89" s="186" t="s">
        <v>47</v>
      </c>
      <c r="E89" s="186" t="b">
        <v>1</v>
      </c>
      <c r="F89" s="186" t="s">
        <v>12</v>
      </c>
      <c r="G89" s="186" t="s">
        <v>9</v>
      </c>
      <c r="H89" s="48" t="str">
        <f t="shared" si="4"/>
        <v>Arrow, Lugg and Frome|Poultry|TRUE|700to900|FreeDrain</v>
      </c>
      <c r="I89" s="128">
        <v>0.35255492370739089</v>
      </c>
      <c r="J89" s="128">
        <v>407.6313453706635</v>
      </c>
      <c r="K89" s="37" t="str">
        <f t="shared" si="3"/>
        <v>Poultry|700to900</v>
      </c>
      <c r="L89" s="128"/>
      <c r="M89" s="128"/>
      <c r="N89" s="52"/>
      <c r="O89" s="49"/>
      <c r="P89" s="133"/>
    </row>
    <row r="90" spans="2:16" x14ac:dyDescent="0.35">
      <c r="B90" s="132"/>
      <c r="C90" s="186" t="s">
        <v>283</v>
      </c>
      <c r="D90" s="186" t="s">
        <v>47</v>
      </c>
      <c r="E90" s="186" t="b">
        <v>0</v>
      </c>
      <c r="F90" s="186" t="s">
        <v>12</v>
      </c>
      <c r="G90" s="186" t="s">
        <v>10</v>
      </c>
      <c r="H90" s="48" t="str">
        <f t="shared" si="4"/>
        <v>Arrow, Lugg and Frome|Poultry|FALSE|700to900|DrainedAr</v>
      </c>
      <c r="I90" s="128">
        <v>0.8111536471499694</v>
      </c>
      <c r="J90" s="128">
        <v>276.65437176314384</v>
      </c>
      <c r="K90" s="37" t="str">
        <f t="shared" si="3"/>
        <v>Poultry|700to900</v>
      </c>
      <c r="L90" s="128"/>
      <c r="M90" s="128"/>
      <c r="N90" s="52"/>
      <c r="O90" s="49"/>
      <c r="P90" s="133"/>
    </row>
    <row r="91" spans="2:16" x14ac:dyDescent="0.35">
      <c r="B91" s="132"/>
      <c r="C91" s="186" t="s">
        <v>283</v>
      </c>
      <c r="D91" s="186" t="s">
        <v>47</v>
      </c>
      <c r="E91" s="186" t="b">
        <v>1</v>
      </c>
      <c r="F91" s="186" t="s">
        <v>12</v>
      </c>
      <c r="G91" s="186" t="s">
        <v>10</v>
      </c>
      <c r="H91" s="48" t="str">
        <f t="shared" si="4"/>
        <v>Arrow, Lugg and Frome|Poultry|TRUE|700to900|DrainedAr</v>
      </c>
      <c r="I91" s="128">
        <v>0.74196499309114161</v>
      </c>
      <c r="J91" s="128">
        <v>265.01209241191464</v>
      </c>
      <c r="K91" s="37" t="str">
        <f t="shared" si="3"/>
        <v>Poultry|700to900</v>
      </c>
      <c r="L91" s="128"/>
      <c r="M91" s="128"/>
      <c r="N91" s="52"/>
      <c r="O91" s="49"/>
      <c r="P91" s="133"/>
    </row>
    <row r="92" spans="2:16" x14ac:dyDescent="0.35">
      <c r="B92" s="132"/>
      <c r="C92" s="186" t="s">
        <v>283</v>
      </c>
      <c r="D92" s="186" t="s">
        <v>47</v>
      </c>
      <c r="E92" s="186" t="b">
        <v>0</v>
      </c>
      <c r="F92" s="186" t="s">
        <v>12</v>
      </c>
      <c r="G92" s="186" t="s">
        <v>11</v>
      </c>
      <c r="H92" s="48" t="str">
        <f t="shared" si="4"/>
        <v>Arrow, Lugg and Frome|Poultry|FALSE|700to900|DrainedArGr</v>
      </c>
      <c r="I92" s="128">
        <v>1.4248551241317582</v>
      </c>
      <c r="J92" s="128">
        <v>224.67129518191803</v>
      </c>
      <c r="K92" s="37" t="str">
        <f t="shared" si="3"/>
        <v>Poultry|700to900</v>
      </c>
      <c r="L92" s="128"/>
      <c r="M92" s="128"/>
      <c r="N92" s="52"/>
      <c r="O92" s="49"/>
      <c r="P92" s="133"/>
    </row>
    <row r="93" spans="2:16" x14ac:dyDescent="0.35">
      <c r="B93" s="132"/>
      <c r="C93" s="186" t="s">
        <v>283</v>
      </c>
      <c r="D93" s="186" t="s">
        <v>47</v>
      </c>
      <c r="E93" s="186" t="b">
        <v>1</v>
      </c>
      <c r="F93" s="186" t="s">
        <v>12</v>
      </c>
      <c r="G93" s="186" t="s">
        <v>11</v>
      </c>
      <c r="H93" s="48" t="str">
        <f t="shared" si="4"/>
        <v>Arrow, Lugg and Frome|Poultry|TRUE|700to900|DrainedArGr</v>
      </c>
      <c r="I93" s="128">
        <v>1.3308354150300044</v>
      </c>
      <c r="J93" s="128">
        <v>207.26285221985225</v>
      </c>
      <c r="K93" s="37" t="str">
        <f t="shared" si="3"/>
        <v>Poultry|700to900</v>
      </c>
      <c r="L93" s="128"/>
      <c r="M93" s="128"/>
      <c r="N93" s="52"/>
      <c r="O93" s="49"/>
      <c r="P93" s="133"/>
    </row>
    <row r="94" spans="2:16" x14ac:dyDescent="0.35">
      <c r="B94" s="132"/>
      <c r="C94" s="186" t="s">
        <v>283</v>
      </c>
      <c r="D94" s="186" t="s">
        <v>47</v>
      </c>
      <c r="E94" s="186" t="b">
        <v>1</v>
      </c>
      <c r="F94" s="186" t="s">
        <v>22</v>
      </c>
      <c r="G94" s="186" t="s">
        <v>9</v>
      </c>
      <c r="H94" s="48" t="str">
        <f t="shared" si="4"/>
        <v>Arrow, Lugg and Frome|Poultry|TRUE|900to1200|FreeDrain</v>
      </c>
      <c r="I94" s="128">
        <v>0.5173695293119196</v>
      </c>
      <c r="J94" s="128">
        <v>426.66160084513797</v>
      </c>
      <c r="K94" s="37" t="str">
        <f t="shared" si="3"/>
        <v>Poultry|900to1200</v>
      </c>
      <c r="L94" s="128">
        <f>AVERAGE(I94,I278:I279)</f>
        <v>1.2963098755677083</v>
      </c>
      <c r="M94" s="128">
        <f>AVERAGE(J94,J278:J279)</f>
        <v>301.77327932315114</v>
      </c>
      <c r="N94" s="52"/>
      <c r="O94" s="49"/>
      <c r="P94" s="133"/>
    </row>
    <row r="95" spans="2:16" x14ac:dyDescent="0.35">
      <c r="B95" s="132"/>
      <c r="C95" s="186" t="s">
        <v>283</v>
      </c>
      <c r="D95" s="186" t="s">
        <v>55</v>
      </c>
      <c r="E95" s="186" t="b">
        <v>1</v>
      </c>
      <c r="F95" s="186" t="s">
        <v>8</v>
      </c>
      <c r="G95" s="186" t="s">
        <v>9</v>
      </c>
      <c r="H95" s="48" t="str">
        <f t="shared" si="4"/>
        <v>Arrow, Lugg and Frome|Dairy|TRUE|600to700|FreeDrain</v>
      </c>
      <c r="I95" s="128">
        <v>0.12006853234356803</v>
      </c>
      <c r="J95" s="128">
        <v>35.791153552483095</v>
      </c>
      <c r="K95" s="37" t="str">
        <f t="shared" si="3"/>
        <v>Dairy|600to700</v>
      </c>
      <c r="L95" s="128">
        <f>AVERAGE(I95:I96,I283)</f>
        <v>0.3969544614402909</v>
      </c>
      <c r="M95" s="128">
        <f>AVERAGE(J95:J96,J283)</f>
        <v>25.782866200025254</v>
      </c>
      <c r="N95" s="52">
        <f>AVERAGE(I95:I99,I177:I183)</f>
        <v>0.35775460116545293</v>
      </c>
      <c r="O95" s="49">
        <f>AVERAGE(J95:J99,J177:J183)</f>
        <v>35.827169076384529</v>
      </c>
      <c r="P95" s="133"/>
    </row>
    <row r="96" spans="2:16" x14ac:dyDescent="0.35">
      <c r="B96" s="132"/>
      <c r="C96" s="186" t="s">
        <v>283</v>
      </c>
      <c r="D96" s="186" t="s">
        <v>55</v>
      </c>
      <c r="E96" s="186" t="b">
        <v>1</v>
      </c>
      <c r="F96" s="186" t="s">
        <v>8</v>
      </c>
      <c r="G96" s="186" t="s">
        <v>10</v>
      </c>
      <c r="H96" s="48" t="str">
        <f t="shared" si="4"/>
        <v>Arrow, Lugg and Frome|Dairy|TRUE|600to700|DrainedAr</v>
      </c>
      <c r="I96" s="128">
        <v>0.21847063241835024</v>
      </c>
      <c r="J96" s="128">
        <v>23.859039817488505</v>
      </c>
      <c r="K96" s="37" t="str">
        <f t="shared" si="3"/>
        <v>Dairy|600to700</v>
      </c>
      <c r="L96" s="128"/>
      <c r="M96" s="128"/>
      <c r="N96" s="52"/>
      <c r="O96" s="49"/>
      <c r="P96" s="133"/>
    </row>
    <row r="97" spans="2:16" x14ac:dyDescent="0.35">
      <c r="B97" s="132"/>
      <c r="C97" s="186" t="s">
        <v>283</v>
      </c>
      <c r="D97" s="186" t="s">
        <v>55</v>
      </c>
      <c r="E97" s="186" t="b">
        <v>0</v>
      </c>
      <c r="F97" s="186" t="s">
        <v>12</v>
      </c>
      <c r="G97" s="186" t="s">
        <v>9</v>
      </c>
      <c r="H97" s="48" t="str">
        <f t="shared" si="4"/>
        <v>Arrow, Lugg and Frome|Dairy|FALSE|700to900|FreeDrain</v>
      </c>
      <c r="I97" s="128">
        <v>0.19329770799101531</v>
      </c>
      <c r="J97" s="128">
        <v>49.747070658962912</v>
      </c>
      <c r="K97" s="37" t="str">
        <f t="shared" si="3"/>
        <v>Dairy|700to900</v>
      </c>
      <c r="L97" s="128">
        <f>AVERAGE(I97,I99,I288)</f>
        <v>0.6111686068155513</v>
      </c>
      <c r="M97" s="128">
        <f>AVERAGE(J97,J99,J288)</f>
        <v>36.329042909006461</v>
      </c>
      <c r="N97" s="52"/>
      <c r="O97" s="49"/>
      <c r="P97" s="133"/>
    </row>
    <row r="98" spans="2:16" x14ac:dyDescent="0.35">
      <c r="B98" s="132"/>
      <c r="C98" s="186" t="s">
        <v>283</v>
      </c>
      <c r="D98" s="186" t="s">
        <v>55</v>
      </c>
      <c r="E98" s="186" t="b">
        <v>1</v>
      </c>
      <c r="F98" s="186" t="s">
        <v>12</v>
      </c>
      <c r="G98" s="186" t="s">
        <v>9</v>
      </c>
      <c r="H98" s="48" t="str">
        <f t="shared" si="4"/>
        <v>Arrow, Lugg and Frome|Dairy|TRUE|700to900|FreeDrain</v>
      </c>
      <c r="I98" s="128">
        <v>0.19125652765530649</v>
      </c>
      <c r="J98" s="128">
        <v>49.252281270766545</v>
      </c>
      <c r="K98" s="37" t="str">
        <f t="shared" si="3"/>
        <v>Dairy|700to900</v>
      </c>
      <c r="L98" s="128"/>
      <c r="M98" s="128"/>
      <c r="N98" s="52"/>
      <c r="O98" s="49"/>
      <c r="P98" s="133"/>
    </row>
    <row r="99" spans="2:16" x14ac:dyDescent="0.35">
      <c r="B99" s="132"/>
      <c r="C99" s="186" t="s">
        <v>283</v>
      </c>
      <c r="D99" s="186" t="s">
        <v>55</v>
      </c>
      <c r="E99" s="186" t="b">
        <v>1</v>
      </c>
      <c r="F99" s="186" t="s">
        <v>12</v>
      </c>
      <c r="G99" s="186" t="s">
        <v>10</v>
      </c>
      <c r="H99" s="48" t="str">
        <f t="shared" si="4"/>
        <v>Arrow, Lugg and Frome|Dairy|TRUE|700to900|DrainedAr</v>
      </c>
      <c r="I99" s="128">
        <v>0.38576543993362877</v>
      </c>
      <c r="J99" s="128">
        <v>37.833301158573633</v>
      </c>
      <c r="K99" s="37" t="str">
        <f t="shared" si="3"/>
        <v>Dairy|700to900</v>
      </c>
      <c r="L99" s="128"/>
      <c r="M99" s="128"/>
      <c r="N99" s="52"/>
      <c r="O99" s="49"/>
      <c r="P99" s="133"/>
    </row>
    <row r="100" spans="2:16" x14ac:dyDescent="0.35">
      <c r="B100" s="132"/>
      <c r="C100" s="186" t="s">
        <v>283</v>
      </c>
      <c r="D100" s="186" t="s">
        <v>57</v>
      </c>
      <c r="E100" s="186" t="b">
        <v>1</v>
      </c>
      <c r="F100" s="186" t="s">
        <v>8</v>
      </c>
      <c r="G100" s="186" t="s">
        <v>9</v>
      </c>
      <c r="H100" s="48" t="str">
        <f t="shared" si="4"/>
        <v>Arrow, Lugg and Frome|LFA|TRUE|600to700|FreeDrain</v>
      </c>
      <c r="I100" s="128">
        <v>5.9176472727217766E-2</v>
      </c>
      <c r="J100" s="128">
        <v>10.797348093062697</v>
      </c>
      <c r="K100" s="37" t="str">
        <f t="shared" si="3"/>
        <v>LFA|600to700</v>
      </c>
      <c r="L100" s="128">
        <f>AVERAGE(I100:I101)</f>
        <v>6.5437749578275695E-2</v>
      </c>
      <c r="M100" s="128">
        <f>AVERAGE(J100:J101)</f>
        <v>9.0724591685223288</v>
      </c>
      <c r="N100" s="52">
        <f>AVERAGE(I100:I108,I184:I190)</f>
        <v>0.17473576375507843</v>
      </c>
      <c r="O100" s="49">
        <f>AVERAGE(J100:J108,J184:J190)</f>
        <v>12.677243500902376</v>
      </c>
      <c r="P100" s="133"/>
    </row>
    <row r="101" spans="2:16" x14ac:dyDescent="0.35">
      <c r="B101" s="132"/>
      <c r="C101" s="186" t="s">
        <v>283</v>
      </c>
      <c r="D101" s="186" t="s">
        <v>57</v>
      </c>
      <c r="E101" s="186" t="b">
        <v>1</v>
      </c>
      <c r="F101" s="186" t="s">
        <v>8</v>
      </c>
      <c r="G101" s="186" t="s">
        <v>10</v>
      </c>
      <c r="H101" s="48" t="str">
        <f t="shared" si="4"/>
        <v>Arrow, Lugg and Frome|LFA|TRUE|600to700|DrainedAr</v>
      </c>
      <c r="I101" s="128">
        <v>7.1699026429333637E-2</v>
      </c>
      <c r="J101" s="128">
        <v>7.3475702439819601</v>
      </c>
      <c r="K101" s="37" t="str">
        <f t="shared" si="3"/>
        <v>LFA|600to700</v>
      </c>
      <c r="L101" s="128"/>
      <c r="M101" s="128"/>
      <c r="N101" s="52"/>
      <c r="O101" s="49"/>
      <c r="P101" s="133"/>
    </row>
    <row r="102" spans="2:16" x14ac:dyDescent="0.35">
      <c r="B102" s="132"/>
      <c r="C102" s="186" t="s">
        <v>283</v>
      </c>
      <c r="D102" s="186" t="s">
        <v>57</v>
      </c>
      <c r="E102" s="186" t="b">
        <v>0</v>
      </c>
      <c r="F102" s="186" t="s">
        <v>12</v>
      </c>
      <c r="G102" s="186" t="s">
        <v>9</v>
      </c>
      <c r="H102" s="48" t="str">
        <f t="shared" si="4"/>
        <v>Arrow, Lugg and Frome|LFA|FALSE|700to900|FreeDrain</v>
      </c>
      <c r="I102" s="128">
        <v>0.10202590985247978</v>
      </c>
      <c r="J102" s="128">
        <v>16.079327251414494</v>
      </c>
      <c r="K102" s="37" t="str">
        <f t="shared" si="3"/>
        <v>LFA|700to900</v>
      </c>
      <c r="L102" s="128">
        <f>AVERAGE(I102,I104,I106)</f>
        <v>0.31247606075183892</v>
      </c>
      <c r="M102" s="128">
        <f>AVERAGE(J102,J104,J106)</f>
        <v>13.081243305534628</v>
      </c>
      <c r="N102" s="52"/>
      <c r="O102" s="49"/>
      <c r="P102" s="133"/>
    </row>
    <row r="103" spans="2:16" x14ac:dyDescent="0.35">
      <c r="B103" s="132"/>
      <c r="C103" s="186" t="s">
        <v>283</v>
      </c>
      <c r="D103" s="186" t="s">
        <v>57</v>
      </c>
      <c r="E103" s="186" t="b">
        <v>1</v>
      </c>
      <c r="F103" s="186" t="s">
        <v>12</v>
      </c>
      <c r="G103" s="186" t="s">
        <v>9</v>
      </c>
      <c r="H103" s="48" t="str">
        <f t="shared" si="4"/>
        <v>Arrow, Lugg and Frome|LFA|TRUE|700to900|FreeDrain</v>
      </c>
      <c r="I103" s="128">
        <v>0.10202578871559825</v>
      </c>
      <c r="J103" s="128">
        <v>16.012444488138151</v>
      </c>
      <c r="K103" s="37" t="str">
        <f t="shared" si="3"/>
        <v>LFA|700to900</v>
      </c>
      <c r="L103" s="128"/>
      <c r="M103" s="128"/>
      <c r="N103" s="52"/>
      <c r="O103" s="49"/>
      <c r="P103" s="133"/>
    </row>
    <row r="104" spans="2:16" x14ac:dyDescent="0.35">
      <c r="B104" s="132"/>
      <c r="C104" s="186" t="s">
        <v>283</v>
      </c>
      <c r="D104" s="186" t="s">
        <v>57</v>
      </c>
      <c r="E104" s="186" t="b">
        <v>0</v>
      </c>
      <c r="F104" s="186" t="s">
        <v>12</v>
      </c>
      <c r="G104" s="186" t="s">
        <v>10</v>
      </c>
      <c r="H104" s="48" t="str">
        <f t="shared" si="4"/>
        <v>Arrow, Lugg and Frome|LFA|FALSE|700to900|DrainedAr</v>
      </c>
      <c r="I104" s="128">
        <v>0.11679086896553439</v>
      </c>
      <c r="J104" s="128">
        <v>12.636492794077141</v>
      </c>
      <c r="K104" s="37" t="str">
        <f t="shared" si="3"/>
        <v>LFA|700to900</v>
      </c>
      <c r="L104" s="128"/>
      <c r="M104" s="128"/>
      <c r="N104" s="52"/>
      <c r="O104" s="49"/>
      <c r="P104" s="133"/>
    </row>
    <row r="105" spans="2:16" x14ac:dyDescent="0.35">
      <c r="B105" s="132"/>
      <c r="C105" s="186" t="s">
        <v>283</v>
      </c>
      <c r="D105" s="186" t="s">
        <v>57</v>
      </c>
      <c r="E105" s="186" t="b">
        <v>1</v>
      </c>
      <c r="F105" s="186" t="s">
        <v>12</v>
      </c>
      <c r="G105" s="186" t="s">
        <v>10</v>
      </c>
      <c r="H105" s="48" t="str">
        <f t="shared" si="4"/>
        <v>Arrow, Lugg and Frome|LFA|TRUE|700to900|DrainedAr</v>
      </c>
      <c r="I105" s="128">
        <v>0.11679071867428391</v>
      </c>
      <c r="J105" s="128">
        <v>12.584934834568747</v>
      </c>
      <c r="K105" s="37" t="str">
        <f t="shared" si="3"/>
        <v>LFA|700to900</v>
      </c>
      <c r="L105" s="128"/>
      <c r="M105" s="128"/>
      <c r="N105" s="52"/>
      <c r="O105" s="49"/>
      <c r="P105" s="133"/>
    </row>
    <row r="106" spans="2:16" x14ac:dyDescent="0.35">
      <c r="B106" s="132"/>
      <c r="C106" s="186" t="s">
        <v>283</v>
      </c>
      <c r="D106" s="186" t="s">
        <v>57</v>
      </c>
      <c r="E106" s="186" t="b">
        <v>0</v>
      </c>
      <c r="F106" s="186" t="s">
        <v>12</v>
      </c>
      <c r="G106" s="186" t="s">
        <v>11</v>
      </c>
      <c r="H106" s="48" t="str">
        <f t="shared" si="4"/>
        <v>Arrow, Lugg and Frome|LFA|FALSE|700to900|DrainedArGr</v>
      </c>
      <c r="I106" s="128">
        <v>0.71861140343750252</v>
      </c>
      <c r="J106" s="128">
        <v>10.52790987111225</v>
      </c>
      <c r="K106" s="37" t="str">
        <f t="shared" si="3"/>
        <v>LFA|700to900</v>
      </c>
      <c r="L106" s="128"/>
      <c r="M106" s="128"/>
      <c r="N106" s="52"/>
      <c r="O106" s="49"/>
      <c r="P106" s="133"/>
    </row>
    <row r="107" spans="2:16" x14ac:dyDescent="0.35">
      <c r="B107" s="132"/>
      <c r="C107" s="186" t="s">
        <v>283</v>
      </c>
      <c r="D107" s="186" t="s">
        <v>57</v>
      </c>
      <c r="E107" s="186" t="b">
        <v>0</v>
      </c>
      <c r="F107" s="186" t="s">
        <v>22</v>
      </c>
      <c r="G107" s="186" t="s">
        <v>9</v>
      </c>
      <c r="H107" s="48" t="str">
        <f t="shared" si="4"/>
        <v>Arrow, Lugg and Frome|LFA|FALSE|900to1200|FreeDrain</v>
      </c>
      <c r="I107" s="128">
        <v>0.15735134568557096</v>
      </c>
      <c r="J107" s="128">
        <v>17.348647719734153</v>
      </c>
      <c r="K107" s="37" t="str">
        <f t="shared" si="3"/>
        <v>LFA|900to1200</v>
      </c>
      <c r="L107" s="128">
        <f>AVERAGE(I297,I107:I108)</f>
        <v>0.3513596252382763</v>
      </c>
      <c r="M107" s="128">
        <f>AVERAGE(J297,J107:J108)</f>
        <v>14.655076431675525</v>
      </c>
      <c r="N107" s="52"/>
      <c r="O107" s="49"/>
      <c r="P107" s="133"/>
    </row>
    <row r="108" spans="2:16" x14ac:dyDescent="0.35">
      <c r="B108" s="132"/>
      <c r="C108" s="186" t="s">
        <v>283</v>
      </c>
      <c r="D108" s="186" t="s">
        <v>57</v>
      </c>
      <c r="E108" s="186" t="b">
        <v>0</v>
      </c>
      <c r="F108" s="186" t="s">
        <v>22</v>
      </c>
      <c r="G108" s="186" t="s">
        <v>10</v>
      </c>
      <c r="H108" s="48" t="str">
        <f t="shared" si="4"/>
        <v>Arrow, Lugg and Frome|LFA|FALSE|900to1200|DrainedAr</v>
      </c>
      <c r="I108" s="128">
        <v>0.1877988080689415</v>
      </c>
      <c r="J108" s="128">
        <v>16.475445424806985</v>
      </c>
      <c r="K108" s="37" t="str">
        <f t="shared" si="3"/>
        <v>LFA|900to1200</v>
      </c>
      <c r="L108" s="128"/>
      <c r="M108" s="128"/>
      <c r="N108" s="52"/>
      <c r="O108" s="49"/>
      <c r="P108" s="133"/>
    </row>
    <row r="109" spans="2:16" x14ac:dyDescent="0.35">
      <c r="B109" s="132"/>
      <c r="C109" s="186" t="s">
        <v>283</v>
      </c>
      <c r="D109" s="186" t="s">
        <v>58</v>
      </c>
      <c r="E109" s="186" t="b">
        <v>1</v>
      </c>
      <c r="F109" s="186" t="s">
        <v>8</v>
      </c>
      <c r="G109" s="186" t="s">
        <v>9</v>
      </c>
      <c r="H109" s="48" t="str">
        <f t="shared" si="4"/>
        <v>Arrow, Lugg and Frome|Lowland|TRUE|600to700|FreeDrain</v>
      </c>
      <c r="I109" s="128">
        <v>7.3302234261812468E-2</v>
      </c>
      <c r="J109" s="128">
        <v>14.982000181773103</v>
      </c>
      <c r="K109" s="37" t="str">
        <f t="shared" si="3"/>
        <v>Lowland|600to700</v>
      </c>
      <c r="L109" s="128">
        <f>AVERAGE(I109:I110,I306)</f>
        <v>0.24973885625282657</v>
      </c>
      <c r="M109" s="128">
        <f>AVERAGE(J109:J110,J306)</f>
        <v>11.712264798091461</v>
      </c>
      <c r="N109" s="52">
        <f>AVERAGE(I109:I119,I191:I203)</f>
        <v>0.35669908558652574</v>
      </c>
      <c r="O109" s="49">
        <f>AVERAGE(J109:J119,J191:J203)</f>
        <v>16.914441676997846</v>
      </c>
      <c r="P109" s="133"/>
    </row>
    <row r="110" spans="2:16" x14ac:dyDescent="0.35">
      <c r="B110" s="132"/>
      <c r="C110" s="186" t="s">
        <v>283</v>
      </c>
      <c r="D110" s="186" t="s">
        <v>58</v>
      </c>
      <c r="E110" s="186" t="b">
        <v>1</v>
      </c>
      <c r="F110" s="186" t="s">
        <v>8</v>
      </c>
      <c r="G110" s="186" t="s">
        <v>10</v>
      </c>
      <c r="H110" s="48" t="str">
        <f t="shared" si="4"/>
        <v>Arrow, Lugg and Frome|Lowland|TRUE|600to700|DrainedAr</v>
      </c>
      <c r="I110" s="128">
        <v>0.12422986207146063</v>
      </c>
      <c r="J110" s="128">
        <v>10.139414592823107</v>
      </c>
      <c r="K110" s="37" t="str">
        <f t="shared" si="3"/>
        <v>Lowland|600to700</v>
      </c>
      <c r="L110" s="128"/>
      <c r="M110" s="128"/>
      <c r="N110" s="52"/>
      <c r="O110" s="49"/>
      <c r="P110" s="133"/>
    </row>
    <row r="111" spans="2:16" x14ac:dyDescent="0.35">
      <c r="B111" s="132"/>
      <c r="C111" s="186" t="s">
        <v>283</v>
      </c>
      <c r="D111" s="186" t="s">
        <v>58</v>
      </c>
      <c r="E111" s="186" t="b">
        <v>0</v>
      </c>
      <c r="F111" s="186" t="s">
        <v>12</v>
      </c>
      <c r="G111" s="186" t="s">
        <v>9</v>
      </c>
      <c r="H111" s="48" t="str">
        <f t="shared" si="4"/>
        <v>Arrow, Lugg and Frome|Lowland|FALSE|700to900|FreeDrain</v>
      </c>
      <c r="I111" s="128">
        <v>0.12649478706653108</v>
      </c>
      <c r="J111" s="128">
        <v>21.382268151048592</v>
      </c>
      <c r="K111" s="37" t="str">
        <f t="shared" si="3"/>
        <v>Lowland|700to900</v>
      </c>
      <c r="L111" s="128">
        <f>AVERAGE(I111,I113,I115)</f>
        <v>0.40791259995052814</v>
      </c>
      <c r="M111" s="128">
        <f>AVERAGE(J111,J113,J115)</f>
        <v>16.871984254001667</v>
      </c>
      <c r="N111" s="52"/>
      <c r="O111" s="49"/>
      <c r="P111" s="133"/>
    </row>
    <row r="112" spans="2:16" x14ac:dyDescent="0.35">
      <c r="B112" s="132"/>
      <c r="C112" s="186" t="s">
        <v>283</v>
      </c>
      <c r="D112" s="186" t="s">
        <v>58</v>
      </c>
      <c r="E112" s="186" t="b">
        <v>1</v>
      </c>
      <c r="F112" s="186" t="s">
        <v>12</v>
      </c>
      <c r="G112" s="186" t="s">
        <v>9</v>
      </c>
      <c r="H112" s="48" t="str">
        <f t="shared" si="4"/>
        <v>Arrow, Lugg and Frome|Lowland|TRUE|700to900|FreeDrain</v>
      </c>
      <c r="I112" s="128">
        <v>0.12649455935680207</v>
      </c>
      <c r="J112" s="128">
        <v>21.258606701360225</v>
      </c>
      <c r="K112" s="37" t="str">
        <f t="shared" si="3"/>
        <v>Lowland|700to900</v>
      </c>
      <c r="L112" s="128"/>
      <c r="M112" s="128"/>
      <c r="N112" s="52"/>
      <c r="O112" s="49"/>
      <c r="P112" s="133"/>
    </row>
    <row r="113" spans="2:16" x14ac:dyDescent="0.35">
      <c r="B113" s="132"/>
      <c r="C113" s="186" t="s">
        <v>283</v>
      </c>
      <c r="D113" s="186" t="s">
        <v>58</v>
      </c>
      <c r="E113" s="186" t="b">
        <v>0</v>
      </c>
      <c r="F113" s="186" t="s">
        <v>12</v>
      </c>
      <c r="G113" s="186" t="s">
        <v>10</v>
      </c>
      <c r="H113" s="48" t="str">
        <f t="shared" si="4"/>
        <v>Arrow, Lugg and Frome|Lowland|FALSE|700to900|DrainedAr</v>
      </c>
      <c r="I113" s="128">
        <v>0.22038827305147934</v>
      </c>
      <c r="J113" s="128">
        <v>16.595255315048519</v>
      </c>
      <c r="K113" s="37" t="str">
        <f t="shared" si="3"/>
        <v>Lowland|700to900</v>
      </c>
      <c r="L113" s="128"/>
      <c r="M113" s="128"/>
      <c r="N113" s="52"/>
      <c r="O113" s="49"/>
      <c r="P113" s="133"/>
    </row>
    <row r="114" spans="2:16" x14ac:dyDescent="0.35">
      <c r="B114" s="132"/>
      <c r="C114" s="186" t="s">
        <v>283</v>
      </c>
      <c r="D114" s="186" t="s">
        <v>58</v>
      </c>
      <c r="E114" s="186" t="b">
        <v>1</v>
      </c>
      <c r="F114" s="186" t="s">
        <v>12</v>
      </c>
      <c r="G114" s="186" t="s">
        <v>10</v>
      </c>
      <c r="H114" s="48" t="str">
        <f t="shared" si="4"/>
        <v>Arrow, Lugg and Frome|Lowland|TRUE|700to900|DrainedAr</v>
      </c>
      <c r="I114" s="128">
        <v>0.2203879905381812</v>
      </c>
      <c r="J114" s="128">
        <v>16.500493035554147</v>
      </c>
      <c r="K114" s="37" t="str">
        <f t="shared" si="3"/>
        <v>Lowland|700to900</v>
      </c>
      <c r="L114" s="128"/>
      <c r="M114" s="128"/>
      <c r="N114" s="52"/>
      <c r="O114" s="49"/>
      <c r="P114" s="133"/>
    </row>
    <row r="115" spans="2:16" x14ac:dyDescent="0.35">
      <c r="B115" s="132"/>
      <c r="C115" s="186" t="s">
        <v>283</v>
      </c>
      <c r="D115" s="186" t="s">
        <v>58</v>
      </c>
      <c r="E115" s="186" t="b">
        <v>0</v>
      </c>
      <c r="F115" s="186" t="s">
        <v>12</v>
      </c>
      <c r="G115" s="186" t="s">
        <v>11</v>
      </c>
      <c r="H115" s="48" t="str">
        <f t="shared" si="4"/>
        <v>Arrow, Lugg and Frome|Lowland|FALSE|700to900|DrainedArGr</v>
      </c>
      <c r="I115" s="128">
        <v>0.87685473973357386</v>
      </c>
      <c r="J115" s="128">
        <v>12.638429295907889</v>
      </c>
      <c r="K115" s="37" t="str">
        <f t="shared" si="3"/>
        <v>Lowland|700to900</v>
      </c>
      <c r="L115" s="128"/>
      <c r="M115" s="128"/>
      <c r="N115" s="52"/>
      <c r="O115" s="49"/>
      <c r="P115" s="133"/>
    </row>
    <row r="116" spans="2:16" x14ac:dyDescent="0.35">
      <c r="B116" s="132"/>
      <c r="C116" s="186" t="s">
        <v>283</v>
      </c>
      <c r="D116" s="186" t="s">
        <v>58</v>
      </c>
      <c r="E116" s="186" t="b">
        <v>1</v>
      </c>
      <c r="F116" s="186" t="s">
        <v>12</v>
      </c>
      <c r="G116" s="186" t="s">
        <v>11</v>
      </c>
      <c r="H116" s="48" t="str">
        <f t="shared" si="4"/>
        <v>Arrow, Lugg and Frome|Lowland|TRUE|700to900|DrainedArGr</v>
      </c>
      <c r="I116" s="128">
        <v>0.87682529854483982</v>
      </c>
      <c r="J116" s="128">
        <v>12.614108406047499</v>
      </c>
      <c r="K116" s="37" t="str">
        <f t="shared" si="3"/>
        <v>Lowland|700to900</v>
      </c>
      <c r="L116" s="128"/>
      <c r="M116" s="128"/>
      <c r="N116" s="52"/>
      <c r="O116" s="49"/>
      <c r="P116" s="133"/>
    </row>
    <row r="117" spans="2:16" x14ac:dyDescent="0.35">
      <c r="B117" s="132"/>
      <c r="C117" s="186" t="s">
        <v>283</v>
      </c>
      <c r="D117" s="186" t="s">
        <v>58</v>
      </c>
      <c r="E117" s="186" t="b">
        <v>0</v>
      </c>
      <c r="F117" s="186" t="s">
        <v>22</v>
      </c>
      <c r="G117" s="186" t="s">
        <v>9</v>
      </c>
      <c r="H117" s="48" t="str">
        <f t="shared" si="4"/>
        <v>Arrow, Lugg and Frome|Lowland|FALSE|900to1200|FreeDrain</v>
      </c>
      <c r="I117" s="128">
        <v>0.19425737937480042</v>
      </c>
      <c r="J117" s="128">
        <v>22.897929121381736</v>
      </c>
      <c r="K117" s="37" t="str">
        <f t="shared" si="3"/>
        <v>Lowland|900to1200</v>
      </c>
      <c r="L117" s="128">
        <f>AVERAGE(I117,I119,I316)</f>
        <v>0.65096143963645392</v>
      </c>
      <c r="M117" s="128">
        <f>AVERAGE(J117,J119,J316)</f>
        <v>20.235710543569208</v>
      </c>
      <c r="N117" s="52"/>
      <c r="O117" s="49"/>
      <c r="P117" s="133"/>
    </row>
    <row r="118" spans="2:16" x14ac:dyDescent="0.35">
      <c r="B118" s="132"/>
      <c r="C118" s="186" t="s">
        <v>283</v>
      </c>
      <c r="D118" s="186" t="s">
        <v>58</v>
      </c>
      <c r="E118" s="186" t="b">
        <v>1</v>
      </c>
      <c r="F118" s="186" t="s">
        <v>22</v>
      </c>
      <c r="G118" s="186" t="s">
        <v>9</v>
      </c>
      <c r="H118" s="48" t="str">
        <f t="shared" si="4"/>
        <v>Arrow, Lugg and Frome|Lowland|TRUE|900to1200|FreeDrain</v>
      </c>
      <c r="I118" s="128">
        <v>0.19425708861190838</v>
      </c>
      <c r="J118" s="128">
        <v>22.772083667547086</v>
      </c>
      <c r="K118" s="37" t="str">
        <f t="shared" si="3"/>
        <v>Lowland|900to1200</v>
      </c>
      <c r="L118" s="128"/>
      <c r="M118" s="128"/>
      <c r="N118" s="52"/>
      <c r="O118" s="49"/>
      <c r="P118" s="133"/>
    </row>
    <row r="119" spans="2:16" x14ac:dyDescent="0.35">
      <c r="B119" s="132"/>
      <c r="C119" s="186" t="s">
        <v>283</v>
      </c>
      <c r="D119" s="186" t="s">
        <v>58</v>
      </c>
      <c r="E119" s="186" t="b">
        <v>0</v>
      </c>
      <c r="F119" s="186" t="s">
        <v>22</v>
      </c>
      <c r="G119" s="186" t="s">
        <v>10</v>
      </c>
      <c r="H119" s="48" t="str">
        <f t="shared" si="4"/>
        <v>Arrow, Lugg and Frome|Lowland|FALSE|900to1200|DrainedAr</v>
      </c>
      <c r="I119" s="128">
        <v>0.37656989363963755</v>
      </c>
      <c r="J119" s="128">
        <v>21.380701769196246</v>
      </c>
      <c r="K119" s="37" t="str">
        <f t="shared" si="3"/>
        <v>Lowland|900to1200</v>
      </c>
      <c r="L119" s="128"/>
      <c r="M119" s="128"/>
      <c r="N119" s="52"/>
      <c r="O119" s="49"/>
      <c r="P119" s="133"/>
    </row>
    <row r="120" spans="2:16" x14ac:dyDescent="0.35">
      <c r="B120" s="132"/>
      <c r="C120" s="186" t="s">
        <v>283</v>
      </c>
      <c r="D120" s="186" t="s">
        <v>59</v>
      </c>
      <c r="E120" s="186" t="b">
        <v>1</v>
      </c>
      <c r="F120" s="186" t="s">
        <v>8</v>
      </c>
      <c r="G120" s="186" t="s">
        <v>9</v>
      </c>
      <c r="H120" s="48" t="str">
        <f t="shared" si="4"/>
        <v>Arrow, Lugg and Frome|Mixed|TRUE|600to700|FreeDrain</v>
      </c>
      <c r="I120" s="128">
        <v>6.7131863150048043E-2</v>
      </c>
      <c r="J120" s="128">
        <v>26.472366545742517</v>
      </c>
      <c r="K120" s="37" t="str">
        <f t="shared" si="3"/>
        <v>Mixed|600to700</v>
      </c>
      <c r="L120" s="128">
        <f>AVERAGE(I120:I121,I321)</f>
        <v>0.29875698526154698</v>
      </c>
      <c r="M120" s="128">
        <f>AVERAGE(J120:J121,J321)</f>
        <v>21.035372211781453</v>
      </c>
      <c r="N120" s="52">
        <f>AVERAGE(I120:I130,I204:I216)</f>
        <v>0.49962573565387952</v>
      </c>
      <c r="O120" s="49">
        <f>AVERAGE(J120:J130,J204:J216)</f>
        <v>26.686712160240081</v>
      </c>
      <c r="P120" s="133"/>
    </row>
    <row r="121" spans="2:16" x14ac:dyDescent="0.35">
      <c r="B121" s="132"/>
      <c r="C121" s="186" t="s">
        <v>283</v>
      </c>
      <c r="D121" s="186" t="s">
        <v>59</v>
      </c>
      <c r="E121" s="186" t="b">
        <v>1</v>
      </c>
      <c r="F121" s="186" t="s">
        <v>8</v>
      </c>
      <c r="G121" s="186" t="s">
        <v>10</v>
      </c>
      <c r="H121" s="48" t="str">
        <f t="shared" si="4"/>
        <v>Arrow, Lugg and Frome|Mixed|TRUE|600to700|DrainedAr</v>
      </c>
      <c r="I121" s="128">
        <v>0.23598960942863326</v>
      </c>
      <c r="J121" s="128">
        <v>18.49366848476652</v>
      </c>
      <c r="K121" s="37" t="str">
        <f t="shared" si="3"/>
        <v>Mixed|600to700</v>
      </c>
      <c r="L121" s="128"/>
      <c r="M121" s="128"/>
      <c r="N121" s="52"/>
      <c r="O121" s="49"/>
      <c r="P121" s="133"/>
    </row>
    <row r="122" spans="2:16" x14ac:dyDescent="0.35">
      <c r="B122" s="132"/>
      <c r="C122" s="186" t="s">
        <v>283</v>
      </c>
      <c r="D122" s="186" t="s">
        <v>59</v>
      </c>
      <c r="E122" s="186" t="b">
        <v>0</v>
      </c>
      <c r="F122" s="186" t="s">
        <v>12</v>
      </c>
      <c r="G122" s="186" t="s">
        <v>9</v>
      </c>
      <c r="H122" s="48" t="str">
        <f t="shared" si="4"/>
        <v>Arrow, Lugg and Frome|Mixed|FALSE|700to900|FreeDrain</v>
      </c>
      <c r="I122" s="128">
        <v>0.14975067549617108</v>
      </c>
      <c r="J122" s="128">
        <v>33.541123138920256</v>
      </c>
      <c r="K122" s="37" t="str">
        <f t="shared" si="3"/>
        <v>Mixed|700to900</v>
      </c>
      <c r="L122" s="128">
        <f>AVERAGE(I122,I124,I126)</f>
        <v>0.54729223640326774</v>
      </c>
      <c r="M122" s="128">
        <f>AVERAGE(J122,J124,J126)</f>
        <v>26.764538662253646</v>
      </c>
      <c r="N122" s="52"/>
      <c r="O122" s="49"/>
      <c r="P122" s="133"/>
    </row>
    <row r="123" spans="2:16" x14ac:dyDescent="0.35">
      <c r="B123" s="132"/>
      <c r="C123" s="186" t="s">
        <v>283</v>
      </c>
      <c r="D123" s="186" t="s">
        <v>59</v>
      </c>
      <c r="E123" s="186" t="b">
        <v>1</v>
      </c>
      <c r="F123" s="186" t="s">
        <v>12</v>
      </c>
      <c r="G123" s="186" t="s">
        <v>9</v>
      </c>
      <c r="H123" s="48" t="str">
        <f t="shared" si="4"/>
        <v>Arrow, Lugg and Frome|Mixed|TRUE|700to900|FreeDrain</v>
      </c>
      <c r="I123" s="128">
        <v>0.14933887308741006</v>
      </c>
      <c r="J123" s="128">
        <v>33.417654327844218</v>
      </c>
      <c r="K123" s="37" t="str">
        <f t="shared" si="3"/>
        <v>Mixed|700to900</v>
      </c>
      <c r="L123" s="128"/>
      <c r="M123" s="128"/>
      <c r="N123" s="52"/>
      <c r="O123" s="49"/>
      <c r="P123" s="133"/>
    </row>
    <row r="124" spans="2:16" x14ac:dyDescent="0.35">
      <c r="B124" s="132"/>
      <c r="C124" s="186" t="s">
        <v>283</v>
      </c>
      <c r="D124" s="186" t="s">
        <v>59</v>
      </c>
      <c r="E124" s="186" t="b">
        <v>0</v>
      </c>
      <c r="F124" s="186" t="s">
        <v>12</v>
      </c>
      <c r="G124" s="186" t="s">
        <v>10</v>
      </c>
      <c r="H124" s="48" t="str">
        <f t="shared" si="4"/>
        <v>Arrow, Lugg and Frome|Mixed|FALSE|700to900|DrainedAr</v>
      </c>
      <c r="I124" s="128">
        <v>0.50086284255158997</v>
      </c>
      <c r="J124" s="128">
        <v>25.453029235612448</v>
      </c>
      <c r="K124" s="37" t="str">
        <f t="shared" si="3"/>
        <v>Mixed|700to900</v>
      </c>
      <c r="L124" s="128"/>
      <c r="M124" s="128"/>
      <c r="N124" s="52"/>
      <c r="O124" s="49"/>
      <c r="P124" s="133"/>
    </row>
    <row r="125" spans="2:16" x14ac:dyDescent="0.35">
      <c r="B125" s="132"/>
      <c r="C125" s="186" t="s">
        <v>283</v>
      </c>
      <c r="D125" s="186" t="s">
        <v>59</v>
      </c>
      <c r="E125" s="186" t="b">
        <v>1</v>
      </c>
      <c r="F125" s="186" t="s">
        <v>12</v>
      </c>
      <c r="G125" s="186" t="s">
        <v>10</v>
      </c>
      <c r="H125" s="48" t="str">
        <f t="shared" si="4"/>
        <v>Arrow, Lugg and Frome|Mixed|TRUE|700to900|DrainedAr</v>
      </c>
      <c r="I125" s="128">
        <v>0.49877985582030404</v>
      </c>
      <c r="J125" s="128">
        <v>25.18149805650663</v>
      </c>
      <c r="K125" s="37" t="str">
        <f t="shared" si="3"/>
        <v>Mixed|700to900</v>
      </c>
      <c r="L125" s="128"/>
      <c r="M125" s="128"/>
      <c r="N125" s="52"/>
      <c r="O125" s="49"/>
      <c r="P125" s="133"/>
    </row>
    <row r="126" spans="2:16" x14ac:dyDescent="0.35">
      <c r="B126" s="132"/>
      <c r="C126" s="186" t="s">
        <v>283</v>
      </c>
      <c r="D126" s="186" t="s">
        <v>59</v>
      </c>
      <c r="E126" s="186" t="b">
        <v>0</v>
      </c>
      <c r="F126" s="186" t="s">
        <v>12</v>
      </c>
      <c r="G126" s="186" t="s">
        <v>11</v>
      </c>
      <c r="H126" s="48" t="str">
        <f t="shared" si="4"/>
        <v>Arrow, Lugg and Frome|Mixed|FALSE|700to900|DrainedArGr</v>
      </c>
      <c r="I126" s="128">
        <v>0.99126319116204209</v>
      </c>
      <c r="J126" s="128">
        <v>21.299463612228234</v>
      </c>
      <c r="K126" s="37" t="str">
        <f t="shared" si="3"/>
        <v>Mixed|700to900</v>
      </c>
      <c r="L126" s="128"/>
      <c r="M126" s="128"/>
      <c r="N126" s="52"/>
      <c r="O126" s="49"/>
      <c r="P126" s="133"/>
    </row>
    <row r="127" spans="2:16" x14ac:dyDescent="0.35">
      <c r="B127" s="132"/>
      <c r="C127" s="186" t="s">
        <v>283</v>
      </c>
      <c r="D127" s="186" t="s">
        <v>59</v>
      </c>
      <c r="E127" s="186" t="b">
        <v>1</v>
      </c>
      <c r="F127" s="186" t="s">
        <v>12</v>
      </c>
      <c r="G127" s="186" t="s">
        <v>11</v>
      </c>
      <c r="H127" s="48" t="str">
        <f t="shared" si="4"/>
        <v>Arrow, Lugg and Frome|Mixed|TRUE|700to900|DrainedArGr</v>
      </c>
      <c r="I127" s="128">
        <v>0.98675743342474675</v>
      </c>
      <c r="J127" s="128">
        <v>20.982948983168722</v>
      </c>
      <c r="K127" s="37" t="str">
        <f t="shared" si="3"/>
        <v>Mixed|700to900</v>
      </c>
      <c r="L127" s="128"/>
      <c r="M127" s="128"/>
      <c r="N127" s="52"/>
      <c r="O127" s="49"/>
      <c r="P127" s="133"/>
    </row>
    <row r="128" spans="2:16" x14ac:dyDescent="0.35">
      <c r="B128" s="132"/>
      <c r="C128" s="186" t="s">
        <v>283</v>
      </c>
      <c r="D128" s="186" t="s">
        <v>59</v>
      </c>
      <c r="E128" s="186" t="b">
        <v>0</v>
      </c>
      <c r="F128" s="186" t="s">
        <v>22</v>
      </c>
      <c r="G128" s="186" t="s">
        <v>9</v>
      </c>
      <c r="H128" s="48" t="str">
        <f t="shared" si="4"/>
        <v>Arrow, Lugg and Frome|Mixed|FALSE|900to1200|FreeDrain</v>
      </c>
      <c r="I128" s="128">
        <v>0.24773744842436873</v>
      </c>
      <c r="J128" s="128">
        <v>35.600398811146007</v>
      </c>
      <c r="K128" s="37" t="str">
        <f t="shared" si="3"/>
        <v>Mixed|900to1200</v>
      </c>
      <c r="L128" s="128">
        <f>AVERAGE(I331,I129:I130)</f>
        <v>0.92312802318734233</v>
      </c>
      <c r="M128" s="128">
        <f>AVERAGE(J331,J129:J130)</f>
        <v>30.740714075778499</v>
      </c>
      <c r="N128" s="52"/>
      <c r="O128" s="49"/>
      <c r="P128" s="133"/>
    </row>
    <row r="129" spans="2:16" x14ac:dyDescent="0.35">
      <c r="B129" s="132"/>
      <c r="C129" s="186" t="s">
        <v>283</v>
      </c>
      <c r="D129" s="186" t="s">
        <v>59</v>
      </c>
      <c r="E129" s="186" t="b">
        <v>1</v>
      </c>
      <c r="F129" s="186" t="s">
        <v>22</v>
      </c>
      <c r="G129" s="186" t="s">
        <v>9</v>
      </c>
      <c r="H129" s="48" t="str">
        <f t="shared" si="4"/>
        <v>Arrow, Lugg and Frome|Mixed|TRUE|900to1200|FreeDrain</v>
      </c>
      <c r="I129" s="128">
        <v>0.24723575486481378</v>
      </c>
      <c r="J129" s="128">
        <v>35.473880370224691</v>
      </c>
      <c r="K129" s="37" t="str">
        <f t="shared" si="3"/>
        <v>Mixed|900to1200</v>
      </c>
      <c r="L129" s="128"/>
      <c r="M129" s="128"/>
      <c r="N129" s="52"/>
      <c r="O129" s="49"/>
      <c r="P129" s="133"/>
    </row>
    <row r="130" spans="2:16" x14ac:dyDescent="0.35">
      <c r="B130" s="132"/>
      <c r="C130" s="186" t="s">
        <v>283</v>
      </c>
      <c r="D130" s="186" t="s">
        <v>59</v>
      </c>
      <c r="E130" s="186" t="b">
        <v>0</v>
      </c>
      <c r="F130" s="186" t="s">
        <v>22</v>
      </c>
      <c r="G130" s="186" t="s">
        <v>10</v>
      </c>
      <c r="H130" s="48" t="str">
        <f t="shared" si="4"/>
        <v>Arrow, Lugg and Frome|Mixed|FALSE|900to1200|DrainedAr</v>
      </c>
      <c r="I130" s="128">
        <v>0.9292404246010979</v>
      </c>
      <c r="J130" s="128">
        <v>32.079061213178733</v>
      </c>
      <c r="K130" s="37" t="str">
        <f t="shared" si="3"/>
        <v>Mixed|900to1200</v>
      </c>
      <c r="L130" s="128"/>
      <c r="M130" s="128"/>
      <c r="N130" s="52"/>
      <c r="O130" s="49"/>
      <c r="P130" s="133"/>
    </row>
    <row r="131" spans="2:16" x14ac:dyDescent="0.35">
      <c r="B131" s="132"/>
      <c r="C131" s="186" t="s">
        <v>221</v>
      </c>
      <c r="D131" s="186" t="s">
        <v>7</v>
      </c>
      <c r="E131" s="186" t="b">
        <v>1</v>
      </c>
      <c r="F131" s="186" t="s">
        <v>8</v>
      </c>
      <c r="G131" s="186" t="s">
        <v>9</v>
      </c>
      <c r="H131" s="48" t="str">
        <f t="shared" si="4"/>
        <v>Wye OC|Cereals|TRUE|600to700|FreeDrain</v>
      </c>
      <c r="I131" s="128">
        <v>5.000716255954861E-2</v>
      </c>
      <c r="J131" s="128">
        <v>25.234990452983702</v>
      </c>
      <c r="K131" s="37" t="str">
        <f t="shared" si="3"/>
        <v>Cereals|600to700</v>
      </c>
      <c r="L131" s="128">
        <f>AVERAGE(I131:I133)</f>
        <v>0.28518910883724186</v>
      </c>
      <c r="M131" s="128">
        <f>AVERAGE(J131:J133)</f>
        <v>21.170725723461661</v>
      </c>
      <c r="N131" s="52"/>
      <c r="O131" s="49"/>
      <c r="P131" s="133"/>
    </row>
    <row r="132" spans="2:16" x14ac:dyDescent="0.35">
      <c r="B132" s="132"/>
      <c r="C132" s="186" t="s">
        <v>221</v>
      </c>
      <c r="D132" s="186" t="s">
        <v>7</v>
      </c>
      <c r="E132" s="186" t="b">
        <v>1</v>
      </c>
      <c r="F132" s="186" t="s">
        <v>8</v>
      </c>
      <c r="G132" s="186" t="s">
        <v>10</v>
      </c>
      <c r="H132" s="48" t="str">
        <f t="shared" si="4"/>
        <v>Wye OC|Cereals|TRUE|600to700|DrainedAr</v>
      </c>
      <c r="I132" s="128">
        <v>0.29796461028265736</v>
      </c>
      <c r="J132" s="128">
        <v>18.497811942669294</v>
      </c>
      <c r="K132" s="37" t="str">
        <f t="shared" si="3"/>
        <v>Cereals|600to700</v>
      </c>
      <c r="L132" s="128"/>
      <c r="M132" s="128"/>
      <c r="N132" s="52"/>
      <c r="O132" s="49"/>
      <c r="P132" s="133"/>
    </row>
    <row r="133" spans="2:16" x14ac:dyDescent="0.35">
      <c r="B133" s="132"/>
      <c r="C133" s="186" t="s">
        <v>221</v>
      </c>
      <c r="D133" s="186" t="s">
        <v>7</v>
      </c>
      <c r="E133" s="186" t="b">
        <v>1</v>
      </c>
      <c r="F133" s="186" t="s">
        <v>8</v>
      </c>
      <c r="G133" s="186" t="s">
        <v>11</v>
      </c>
      <c r="H133" s="48" t="str">
        <f t="shared" si="4"/>
        <v>Wye OC|Cereals|TRUE|600to700|DrainedArGr</v>
      </c>
      <c r="I133" s="128">
        <v>0.50759555366951969</v>
      </c>
      <c r="J133" s="128">
        <v>19.779374774731995</v>
      </c>
      <c r="K133" s="37" t="str">
        <f t="shared" si="3"/>
        <v>Cereals|600to700</v>
      </c>
      <c r="L133" s="128"/>
      <c r="M133" s="128"/>
      <c r="N133" s="52"/>
      <c r="O133" s="49"/>
      <c r="P133" s="133"/>
    </row>
    <row r="134" spans="2:16" x14ac:dyDescent="0.35">
      <c r="B134" s="132"/>
      <c r="C134" s="186" t="s">
        <v>221</v>
      </c>
      <c r="D134" s="186" t="s">
        <v>7</v>
      </c>
      <c r="E134" s="186" t="b">
        <v>0</v>
      </c>
      <c r="F134" s="186" t="s">
        <v>12</v>
      </c>
      <c r="G134" s="186" t="s">
        <v>9</v>
      </c>
      <c r="H134" s="48" t="str">
        <f t="shared" si="4"/>
        <v>Wye OC|Cereals|FALSE|700to900|FreeDrain</v>
      </c>
      <c r="I134" s="128">
        <v>0.13271074500404542</v>
      </c>
      <c r="J134" s="128">
        <v>30.369501102885309</v>
      </c>
      <c r="K134" s="37" t="str">
        <f t="shared" si="3"/>
        <v>Cereals|700to900</v>
      </c>
      <c r="L134" s="128">
        <f>AVERAGE(I134,I136,I138)</f>
        <v>0.55871249360260411</v>
      </c>
      <c r="M134" s="128">
        <f>AVERAGE(J134,J136,J138)</f>
        <v>25.15617829418817</v>
      </c>
      <c r="N134" s="52"/>
      <c r="O134" s="49"/>
      <c r="P134" s="133"/>
    </row>
    <row r="135" spans="2:16" x14ac:dyDescent="0.35">
      <c r="B135" s="132"/>
      <c r="C135" s="186" t="s">
        <v>221</v>
      </c>
      <c r="D135" s="186" t="s">
        <v>7</v>
      </c>
      <c r="E135" s="186" t="b">
        <v>1</v>
      </c>
      <c r="F135" s="186" t="s">
        <v>12</v>
      </c>
      <c r="G135" s="186" t="s">
        <v>9</v>
      </c>
      <c r="H135" s="48" t="str">
        <f t="shared" si="4"/>
        <v>Wye OC|Cereals|TRUE|700to900|FreeDrain</v>
      </c>
      <c r="I135" s="128">
        <v>0.1326992617466865</v>
      </c>
      <c r="J135" s="128">
        <v>30.271852076063944</v>
      </c>
      <c r="K135" s="37" t="str">
        <f t="shared" si="3"/>
        <v>Cereals|700to900</v>
      </c>
      <c r="L135" s="128"/>
      <c r="M135" s="128"/>
      <c r="N135" s="52"/>
      <c r="O135" s="49"/>
      <c r="P135" s="133"/>
    </row>
    <row r="136" spans="2:16" x14ac:dyDescent="0.35">
      <c r="B136" s="132"/>
      <c r="C136" s="186" t="s">
        <v>221</v>
      </c>
      <c r="D136" s="186" t="s">
        <v>7</v>
      </c>
      <c r="E136" s="186" t="b">
        <v>0</v>
      </c>
      <c r="F136" s="186" t="s">
        <v>12</v>
      </c>
      <c r="G136" s="186" t="s">
        <v>10</v>
      </c>
      <c r="H136" s="48" t="str">
        <f t="shared" si="4"/>
        <v>Wye OC|Cereals|FALSE|700to900|DrainedAr</v>
      </c>
      <c r="I136" s="128">
        <v>0.64525301730995055</v>
      </c>
      <c r="J136" s="128">
        <v>23.283789758093565</v>
      </c>
      <c r="K136" s="37" t="str">
        <f t="shared" si="3"/>
        <v>Cereals|700to900</v>
      </c>
      <c r="L136" s="128"/>
      <c r="M136" s="128"/>
      <c r="N136" s="52"/>
      <c r="O136" s="49"/>
      <c r="P136" s="133"/>
    </row>
    <row r="137" spans="2:16" x14ac:dyDescent="0.35">
      <c r="B137" s="132"/>
      <c r="C137" s="186" t="s">
        <v>221</v>
      </c>
      <c r="D137" s="186" t="s">
        <v>7</v>
      </c>
      <c r="E137" s="186" t="b">
        <v>1</v>
      </c>
      <c r="F137" s="186" t="s">
        <v>12</v>
      </c>
      <c r="G137" s="186" t="s">
        <v>10</v>
      </c>
      <c r="H137" s="48" t="str">
        <f t="shared" si="4"/>
        <v>Wye OC|Cereals|TRUE|700to900|DrainedAr</v>
      </c>
      <c r="I137" s="128">
        <v>0.64519173438810196</v>
      </c>
      <c r="J137" s="128">
        <v>23.214590668083527</v>
      </c>
      <c r="K137" s="37" t="str">
        <f t="shared" si="3"/>
        <v>Cereals|700to900</v>
      </c>
      <c r="L137" s="128"/>
      <c r="M137" s="128"/>
      <c r="N137" s="52"/>
      <c r="O137" s="38"/>
      <c r="P137" s="133"/>
    </row>
    <row r="138" spans="2:16" x14ac:dyDescent="0.35">
      <c r="B138" s="132"/>
      <c r="C138" s="186" t="s">
        <v>221</v>
      </c>
      <c r="D138" s="186" t="s">
        <v>7</v>
      </c>
      <c r="E138" s="186" t="b">
        <v>0</v>
      </c>
      <c r="F138" s="186" t="s">
        <v>12</v>
      </c>
      <c r="G138" s="186" t="s">
        <v>11</v>
      </c>
      <c r="H138" s="48" t="str">
        <f t="shared" si="4"/>
        <v>Wye OC|Cereals|FALSE|700to900|DrainedArGr</v>
      </c>
      <c r="I138" s="128">
        <v>0.89817371849381644</v>
      </c>
      <c r="J138" s="128">
        <v>21.815244021585645</v>
      </c>
      <c r="K138" s="37" t="str">
        <f t="shared" si="3"/>
        <v>Cereals|700to900</v>
      </c>
      <c r="L138" s="128"/>
      <c r="M138" s="128"/>
      <c r="N138" s="52"/>
      <c r="O138" s="38"/>
      <c r="P138" s="133"/>
    </row>
    <row r="139" spans="2:16" x14ac:dyDescent="0.35">
      <c r="B139" s="132"/>
      <c r="C139" s="186" t="s">
        <v>221</v>
      </c>
      <c r="D139" s="186" t="s">
        <v>7</v>
      </c>
      <c r="E139" s="186" t="b">
        <v>1</v>
      </c>
      <c r="F139" s="186" t="s">
        <v>12</v>
      </c>
      <c r="G139" s="186" t="s">
        <v>11</v>
      </c>
      <c r="H139" s="48" t="str">
        <f t="shared" si="4"/>
        <v>Wye OC|Cereals|TRUE|700to900|DrainedArGr</v>
      </c>
      <c r="I139" s="128">
        <v>0.89802473253278836</v>
      </c>
      <c r="J139" s="128">
        <v>21.757610431331852</v>
      </c>
      <c r="K139" s="37" t="str">
        <f t="shared" si="3"/>
        <v>Cereals|700to900</v>
      </c>
      <c r="L139" s="128"/>
      <c r="M139" s="128"/>
      <c r="N139" s="52"/>
      <c r="O139" s="38"/>
      <c r="P139" s="133"/>
    </row>
    <row r="140" spans="2:16" x14ac:dyDescent="0.35">
      <c r="B140" s="132"/>
      <c r="C140" s="186" t="s">
        <v>221</v>
      </c>
      <c r="D140" s="186" t="s">
        <v>7</v>
      </c>
      <c r="E140" s="186" t="b">
        <v>0</v>
      </c>
      <c r="F140" s="186" t="s">
        <v>22</v>
      </c>
      <c r="G140" s="186" t="s">
        <v>9</v>
      </c>
      <c r="H140" s="48" t="str">
        <f t="shared" si="4"/>
        <v>Wye OC|Cereals|FALSE|900to1200|FreeDrain</v>
      </c>
      <c r="I140" s="128">
        <v>0.2297486632397075</v>
      </c>
      <c r="J140" s="128">
        <v>32.259988765789025</v>
      </c>
      <c r="K140" s="37" t="str">
        <f t="shared" si="3"/>
        <v>Cereals|900to1200</v>
      </c>
      <c r="L140" s="128">
        <f>AVERAGE(I140,I142,I228)</f>
        <v>0.97447756368345273</v>
      </c>
      <c r="M140" s="128">
        <f>AVERAGE(J140,J142,J228)</f>
        <v>28.999946346323629</v>
      </c>
      <c r="N140" s="52"/>
      <c r="O140" s="38"/>
      <c r="P140" s="133"/>
    </row>
    <row r="141" spans="2:16" x14ac:dyDescent="0.35">
      <c r="B141" s="132"/>
      <c r="C141" s="186" t="s">
        <v>221</v>
      </c>
      <c r="D141" s="186" t="s">
        <v>7</v>
      </c>
      <c r="E141" s="186" t="b">
        <v>1</v>
      </c>
      <c r="F141" s="186" t="s">
        <v>22</v>
      </c>
      <c r="G141" s="186" t="s">
        <v>9</v>
      </c>
      <c r="H141" s="48" t="str">
        <f t="shared" si="4"/>
        <v>Wye OC|Cereals|TRUE|900to1200|FreeDrain</v>
      </c>
      <c r="I141" s="128">
        <v>0.22973447661638052</v>
      </c>
      <c r="J141" s="128">
        <v>32.157410978790409</v>
      </c>
      <c r="K141" s="37" t="str">
        <f t="shared" si="3"/>
        <v>Cereals|900to1200</v>
      </c>
      <c r="L141" s="128"/>
      <c r="M141" s="128"/>
      <c r="N141" s="52"/>
      <c r="O141" s="38"/>
      <c r="P141" s="133"/>
    </row>
    <row r="142" spans="2:16" x14ac:dyDescent="0.35">
      <c r="B142" s="132"/>
      <c r="C142" s="186" t="s">
        <v>221</v>
      </c>
      <c r="D142" s="186" t="s">
        <v>7</v>
      </c>
      <c r="E142" s="186" t="b">
        <v>0</v>
      </c>
      <c r="F142" s="186" t="s">
        <v>22</v>
      </c>
      <c r="G142" s="186" t="s">
        <v>11</v>
      </c>
      <c r="H142" s="48" t="str">
        <f t="shared" si="4"/>
        <v>Wye OC|Cereals|FALSE|900to1200|DrainedArGr</v>
      </c>
      <c r="I142" s="128">
        <v>1.4751379434704499</v>
      </c>
      <c r="J142" s="128">
        <v>25.168747076102385</v>
      </c>
      <c r="K142" s="37" t="str">
        <f t="shared" si="3"/>
        <v>Cereals|900to1200</v>
      </c>
      <c r="L142" s="128"/>
      <c r="M142" s="128"/>
      <c r="N142" s="52"/>
      <c r="O142" s="38"/>
      <c r="P142" s="133"/>
    </row>
    <row r="143" spans="2:16" x14ac:dyDescent="0.35">
      <c r="B143" s="132"/>
      <c r="C143" s="186" t="s">
        <v>221</v>
      </c>
      <c r="D143" s="186" t="s">
        <v>25</v>
      </c>
      <c r="E143" s="186" t="b">
        <v>1</v>
      </c>
      <c r="F143" s="186" t="s">
        <v>8</v>
      </c>
      <c r="G143" s="186" t="s">
        <v>9</v>
      </c>
      <c r="H143" s="48" t="str">
        <f t="shared" si="4"/>
        <v>Wye OC|General|TRUE|600to700|FreeDrain</v>
      </c>
      <c r="I143" s="128">
        <v>4.3166790897091155E-2</v>
      </c>
      <c r="J143" s="128">
        <v>24.810665190742444</v>
      </c>
      <c r="K143" s="37" t="str">
        <f t="shared" si="3"/>
        <v>General|600to700</v>
      </c>
      <c r="L143" s="128">
        <f>AVERAGE(I143:I145)</f>
        <v>0.24910344093284917</v>
      </c>
      <c r="M143" s="128">
        <f>AVERAGE(J143:J145)</f>
        <v>19.987226600786048</v>
      </c>
      <c r="N143" s="52"/>
      <c r="O143" s="38"/>
      <c r="P143" s="133"/>
    </row>
    <row r="144" spans="2:16" x14ac:dyDescent="0.35">
      <c r="B144" s="132"/>
      <c r="C144" s="186" t="s">
        <v>221</v>
      </c>
      <c r="D144" s="186" t="s">
        <v>25</v>
      </c>
      <c r="E144" s="186" t="b">
        <v>1</v>
      </c>
      <c r="F144" s="186" t="s">
        <v>8</v>
      </c>
      <c r="G144" s="186" t="s">
        <v>10</v>
      </c>
      <c r="H144" s="48" t="str">
        <f t="shared" si="4"/>
        <v>Wye OC|General|TRUE|600to700|DrainedAr</v>
      </c>
      <c r="I144" s="128">
        <v>0.24952002420131042</v>
      </c>
      <c r="J144" s="128">
        <v>17.29485416707292</v>
      </c>
      <c r="K144" s="37" t="str">
        <f t="shared" si="3"/>
        <v>General|600to700</v>
      </c>
      <c r="L144" s="128"/>
      <c r="M144" s="128"/>
      <c r="N144" s="52"/>
      <c r="O144" s="38"/>
      <c r="P144" s="133"/>
    </row>
    <row r="145" spans="2:16" x14ac:dyDescent="0.35">
      <c r="B145" s="132"/>
      <c r="C145" s="186" t="s">
        <v>221</v>
      </c>
      <c r="D145" s="186" t="s">
        <v>25</v>
      </c>
      <c r="E145" s="186" t="b">
        <v>1</v>
      </c>
      <c r="F145" s="186" t="s">
        <v>8</v>
      </c>
      <c r="G145" s="186" t="s">
        <v>11</v>
      </c>
      <c r="H145" s="48" t="str">
        <f t="shared" si="4"/>
        <v>Wye OC|General|TRUE|600to700|DrainedArGr</v>
      </c>
      <c r="I145" s="128">
        <v>0.45462350770014592</v>
      </c>
      <c r="J145" s="128">
        <v>17.856160444542777</v>
      </c>
      <c r="K145" s="37" t="str">
        <f t="shared" si="3"/>
        <v>General|600to700</v>
      </c>
      <c r="L145" s="128"/>
      <c r="M145" s="128"/>
      <c r="N145" s="52"/>
      <c r="O145" s="38"/>
      <c r="P145" s="133"/>
    </row>
    <row r="146" spans="2:16" x14ac:dyDescent="0.35">
      <c r="B146" s="132"/>
      <c r="C146" s="186" t="s">
        <v>221</v>
      </c>
      <c r="D146" s="186" t="s">
        <v>25</v>
      </c>
      <c r="E146" s="186" t="b">
        <v>0</v>
      </c>
      <c r="F146" s="186" t="s">
        <v>12</v>
      </c>
      <c r="G146" s="186" t="s">
        <v>9</v>
      </c>
      <c r="H146" s="48" t="str">
        <f t="shared" si="4"/>
        <v>Wye OC|General|FALSE|700to900|FreeDrain</v>
      </c>
      <c r="I146" s="128">
        <v>0.11190614157693289</v>
      </c>
      <c r="J146" s="128">
        <v>29.635611410465586</v>
      </c>
      <c r="K146" s="37" t="str">
        <f t="shared" si="3"/>
        <v>General|700to900</v>
      </c>
      <c r="L146" s="128">
        <f>AVERAGE(I146,I148,I150)</f>
        <v>0.46966297751141872</v>
      </c>
      <c r="M146" s="128">
        <f>AVERAGE(J146,J148,J150)</f>
        <v>23.459052932495023</v>
      </c>
      <c r="N146" s="52"/>
      <c r="O146" s="38"/>
      <c r="P146" s="133"/>
    </row>
    <row r="147" spans="2:16" x14ac:dyDescent="0.35">
      <c r="B147" s="132"/>
      <c r="C147" s="186" t="s">
        <v>221</v>
      </c>
      <c r="D147" s="186" t="s">
        <v>25</v>
      </c>
      <c r="E147" s="186" t="b">
        <v>1</v>
      </c>
      <c r="F147" s="186" t="s">
        <v>12</v>
      </c>
      <c r="G147" s="186" t="s">
        <v>9</v>
      </c>
      <c r="H147" s="48" t="str">
        <f t="shared" si="4"/>
        <v>Wye OC|General|TRUE|700to900|FreeDrain</v>
      </c>
      <c r="I147" s="128">
        <v>0.11190614157693289</v>
      </c>
      <c r="J147" s="128">
        <v>29.551716534478263</v>
      </c>
      <c r="K147" s="37" t="str">
        <f t="shared" si="3"/>
        <v>General|700to900</v>
      </c>
      <c r="L147" s="128"/>
      <c r="M147" s="128"/>
      <c r="N147" s="52"/>
      <c r="O147" s="38"/>
      <c r="P147" s="133"/>
    </row>
    <row r="148" spans="2:16" x14ac:dyDescent="0.35">
      <c r="B148" s="132"/>
      <c r="C148" s="186" t="s">
        <v>221</v>
      </c>
      <c r="D148" s="186" t="s">
        <v>25</v>
      </c>
      <c r="E148" s="186" t="b">
        <v>0</v>
      </c>
      <c r="F148" s="186" t="s">
        <v>12</v>
      </c>
      <c r="G148" s="186" t="s">
        <v>10</v>
      </c>
      <c r="H148" s="48" t="str">
        <f t="shared" si="4"/>
        <v>Wye OC|General|FALSE|700to900|DrainedAr</v>
      </c>
      <c r="I148" s="128">
        <v>0.51713769025881784</v>
      </c>
      <c r="J148" s="128">
        <v>21.516156481138037</v>
      </c>
      <c r="K148" s="37" t="str">
        <f t="shared" si="3"/>
        <v>General|700to900</v>
      </c>
      <c r="L148" s="128"/>
      <c r="M148" s="128"/>
      <c r="N148" s="52"/>
      <c r="O148" s="38"/>
      <c r="P148" s="133"/>
    </row>
    <row r="149" spans="2:16" x14ac:dyDescent="0.35">
      <c r="B149" s="132"/>
      <c r="C149" s="186" t="s">
        <v>221</v>
      </c>
      <c r="D149" s="186" t="s">
        <v>25</v>
      </c>
      <c r="E149" s="186" t="b">
        <v>1</v>
      </c>
      <c r="F149" s="186" t="s">
        <v>12</v>
      </c>
      <c r="G149" s="186" t="s">
        <v>10</v>
      </c>
      <c r="H149" s="48" t="str">
        <f t="shared" si="4"/>
        <v>Wye OC|General|TRUE|700to900|DrainedAr</v>
      </c>
      <c r="I149" s="128">
        <v>0.51713769025881784</v>
      </c>
      <c r="J149" s="128">
        <v>21.460781187198908</v>
      </c>
      <c r="K149" s="37" t="str">
        <f t="shared" ref="K149:K212" si="5">D149&amp;"|"&amp;F149</f>
        <v>General|700to900</v>
      </c>
      <c r="L149" s="128"/>
      <c r="M149" s="128"/>
      <c r="N149" s="52"/>
      <c r="O149" s="38"/>
      <c r="P149" s="133"/>
    </row>
    <row r="150" spans="2:16" x14ac:dyDescent="0.35">
      <c r="B150" s="132"/>
      <c r="C150" s="186" t="s">
        <v>221</v>
      </c>
      <c r="D150" s="186" t="s">
        <v>25</v>
      </c>
      <c r="E150" s="186" t="b">
        <v>0</v>
      </c>
      <c r="F150" s="186" t="s">
        <v>12</v>
      </c>
      <c r="G150" s="186" t="s">
        <v>11</v>
      </c>
      <c r="H150" s="48" t="str">
        <f t="shared" ref="H150:H213" si="6">C150&amp;"|"&amp;D150&amp;"|"&amp;E150&amp;"|"&amp;F150&amp;"|"&amp;G150</f>
        <v>Wye OC|General|FALSE|700to900|DrainedArGr</v>
      </c>
      <c r="I150" s="128">
        <v>0.77994510069850542</v>
      </c>
      <c r="J150" s="128">
        <v>19.22539090588144</v>
      </c>
      <c r="K150" s="37" t="str">
        <f t="shared" si="5"/>
        <v>General|700to900</v>
      </c>
      <c r="L150" s="128"/>
      <c r="M150" s="128"/>
      <c r="N150" s="52"/>
      <c r="O150" s="38"/>
      <c r="P150" s="133"/>
    </row>
    <row r="151" spans="2:16" x14ac:dyDescent="0.35">
      <c r="B151" s="132"/>
      <c r="C151" s="186" t="s">
        <v>221</v>
      </c>
      <c r="D151" s="186" t="s">
        <v>25</v>
      </c>
      <c r="E151" s="186" t="b">
        <v>1</v>
      </c>
      <c r="F151" s="186" t="s">
        <v>12</v>
      </c>
      <c r="G151" s="186" t="s">
        <v>11</v>
      </c>
      <c r="H151" s="48" t="str">
        <f t="shared" si="6"/>
        <v>Wye OC|General|TRUE|700to900|DrainedArGr</v>
      </c>
      <c r="I151" s="128">
        <v>0.77994510069850542</v>
      </c>
      <c r="J151" s="128">
        <v>19.18110663737836</v>
      </c>
      <c r="K151" s="37" t="str">
        <f t="shared" si="5"/>
        <v>General|700to900</v>
      </c>
      <c r="L151" s="128"/>
      <c r="M151" s="128"/>
      <c r="N151" s="52"/>
      <c r="O151" s="38"/>
      <c r="P151" s="133"/>
    </row>
    <row r="152" spans="2:16" x14ac:dyDescent="0.35">
      <c r="B152" s="132"/>
      <c r="C152" s="186" t="s">
        <v>221</v>
      </c>
      <c r="D152" s="186" t="s">
        <v>25</v>
      </c>
      <c r="E152" s="186" t="b">
        <v>0</v>
      </c>
      <c r="F152" s="186" t="s">
        <v>22</v>
      </c>
      <c r="G152" s="186" t="s">
        <v>9</v>
      </c>
      <c r="H152" s="48" t="str">
        <f t="shared" si="6"/>
        <v>Wye OC|General|FALSE|900to1200|FreeDrain</v>
      </c>
      <c r="I152" s="128">
        <v>0.19985653438008946</v>
      </c>
      <c r="J152" s="128">
        <v>31.488378684403791</v>
      </c>
      <c r="K152" s="37" t="str">
        <f t="shared" si="5"/>
        <v>General|900to1200</v>
      </c>
      <c r="L152" s="128">
        <f>AVERAGE(I152,I154,I155)</f>
        <v>0.8157372638549828</v>
      </c>
      <c r="M152" s="128">
        <f>AVERAGE(J152,J154,J155)</f>
        <v>26.630269975564971</v>
      </c>
      <c r="N152" s="52"/>
      <c r="O152" s="38"/>
      <c r="P152" s="133"/>
    </row>
    <row r="153" spans="2:16" x14ac:dyDescent="0.35">
      <c r="B153" s="132"/>
      <c r="C153" s="186" t="s">
        <v>221</v>
      </c>
      <c r="D153" s="186" t="s">
        <v>25</v>
      </c>
      <c r="E153" s="186" t="b">
        <v>1</v>
      </c>
      <c r="F153" s="186" t="s">
        <v>22</v>
      </c>
      <c r="G153" s="186" t="s">
        <v>9</v>
      </c>
      <c r="H153" s="48" t="str">
        <f t="shared" si="6"/>
        <v>Wye OC|General|TRUE|900to1200|FreeDrain</v>
      </c>
      <c r="I153" s="128">
        <v>0.19985653438008946</v>
      </c>
      <c r="J153" s="128">
        <v>31.400025096076998</v>
      </c>
      <c r="K153" s="37" t="str">
        <f t="shared" si="5"/>
        <v>General|900to1200</v>
      </c>
      <c r="L153" s="128"/>
      <c r="M153" s="128"/>
      <c r="N153" s="52"/>
      <c r="O153" s="38"/>
      <c r="P153" s="133"/>
    </row>
    <row r="154" spans="2:16" x14ac:dyDescent="0.35">
      <c r="B154" s="132"/>
      <c r="C154" s="186" t="s">
        <v>221</v>
      </c>
      <c r="D154" s="186" t="s">
        <v>25</v>
      </c>
      <c r="E154" s="186" t="b">
        <v>1</v>
      </c>
      <c r="F154" s="186" t="s">
        <v>22</v>
      </c>
      <c r="G154" s="186" t="s">
        <v>10</v>
      </c>
      <c r="H154" s="48" t="str">
        <f t="shared" si="6"/>
        <v>Wye OC|General|TRUE|900to1200|DrainedAr</v>
      </c>
      <c r="I154" s="128">
        <v>0.96842902464622105</v>
      </c>
      <c r="J154" s="128">
        <v>26.857493766199333</v>
      </c>
      <c r="K154" s="37" t="str">
        <f t="shared" si="5"/>
        <v>General|900to1200</v>
      </c>
      <c r="L154" s="128"/>
      <c r="M154" s="128"/>
      <c r="N154" s="52"/>
      <c r="O154" s="38"/>
      <c r="P154" s="133"/>
    </row>
    <row r="155" spans="2:16" x14ac:dyDescent="0.35">
      <c r="B155" s="132"/>
      <c r="C155" s="186" t="s">
        <v>221</v>
      </c>
      <c r="D155" s="186" t="s">
        <v>25</v>
      </c>
      <c r="E155" s="186" t="b">
        <v>0</v>
      </c>
      <c r="F155" s="186" t="s">
        <v>22</v>
      </c>
      <c r="G155" s="186" t="s">
        <v>11</v>
      </c>
      <c r="H155" s="48" t="str">
        <f t="shared" si="6"/>
        <v>Wye OC|General|FALSE|900to1200|DrainedArGr</v>
      </c>
      <c r="I155" s="128">
        <v>1.2789262325386379</v>
      </c>
      <c r="J155" s="128">
        <v>21.544937476091793</v>
      </c>
      <c r="K155" s="37" t="str">
        <f t="shared" si="5"/>
        <v>General|900to1200</v>
      </c>
      <c r="L155" s="128"/>
      <c r="M155" s="128"/>
      <c r="N155" s="52"/>
      <c r="O155" s="38"/>
      <c r="P155" s="133"/>
    </row>
    <row r="156" spans="2:16" x14ac:dyDescent="0.35">
      <c r="B156" s="132"/>
      <c r="C156" s="186" t="s">
        <v>221</v>
      </c>
      <c r="D156" s="186" t="s">
        <v>32</v>
      </c>
      <c r="E156" s="186" t="b">
        <v>1</v>
      </c>
      <c r="F156" s="186" t="s">
        <v>8</v>
      </c>
      <c r="G156" s="186" t="s">
        <v>9</v>
      </c>
      <c r="H156" s="48" t="str">
        <f t="shared" si="6"/>
        <v>Wye OC|Horticulture|TRUE|600to700|FreeDrain</v>
      </c>
      <c r="I156" s="128">
        <v>2.9449071359838954E-2</v>
      </c>
      <c r="J156" s="128">
        <v>14.82335684825799</v>
      </c>
      <c r="K156" s="37" t="str">
        <f t="shared" si="5"/>
        <v>Horticulture|600to700</v>
      </c>
      <c r="L156" s="128">
        <f>AVERAGE(I156:I158)</f>
        <v>0.18057573887757969</v>
      </c>
      <c r="M156" s="128">
        <f>AVERAGE(J156:J158)</f>
        <v>11.839037871948888</v>
      </c>
      <c r="N156" s="52"/>
      <c r="O156" s="38"/>
      <c r="P156" s="133"/>
    </row>
    <row r="157" spans="2:16" x14ac:dyDescent="0.35">
      <c r="B157" s="132"/>
      <c r="C157" s="186" t="s">
        <v>221</v>
      </c>
      <c r="D157" s="186" t="s">
        <v>32</v>
      </c>
      <c r="E157" s="186" t="b">
        <v>1</v>
      </c>
      <c r="F157" s="186" t="s">
        <v>8</v>
      </c>
      <c r="G157" s="186" t="s">
        <v>10</v>
      </c>
      <c r="H157" s="48" t="str">
        <f t="shared" si="6"/>
        <v>Wye OC|Horticulture|TRUE|600to700|DrainedAr</v>
      </c>
      <c r="I157" s="128">
        <v>0.18638488401910924</v>
      </c>
      <c r="J157" s="128">
        <v>10.231140261244496</v>
      </c>
      <c r="K157" s="37" t="str">
        <f t="shared" si="5"/>
        <v>Horticulture|600to700</v>
      </c>
      <c r="L157" s="128"/>
      <c r="M157" s="128"/>
      <c r="N157" s="52"/>
      <c r="O157" s="38"/>
      <c r="P157" s="133"/>
    </row>
    <row r="158" spans="2:16" x14ac:dyDescent="0.35">
      <c r="B158" s="132"/>
      <c r="C158" s="186" t="s">
        <v>221</v>
      </c>
      <c r="D158" s="186" t="s">
        <v>32</v>
      </c>
      <c r="E158" s="186" t="b">
        <v>1</v>
      </c>
      <c r="F158" s="186" t="s">
        <v>8</v>
      </c>
      <c r="G158" s="186" t="s">
        <v>11</v>
      </c>
      <c r="H158" s="48" t="str">
        <f t="shared" si="6"/>
        <v>Wye OC|Horticulture|TRUE|600to700|DrainedArGr</v>
      </c>
      <c r="I158" s="128">
        <v>0.32589326125379081</v>
      </c>
      <c r="J158" s="128">
        <v>10.462616506344178</v>
      </c>
      <c r="K158" s="37" t="str">
        <f t="shared" si="5"/>
        <v>Horticulture|600to700</v>
      </c>
      <c r="L158" s="128"/>
      <c r="M158" s="128"/>
      <c r="N158" s="52"/>
      <c r="O158" s="38"/>
      <c r="P158" s="133"/>
    </row>
    <row r="159" spans="2:16" x14ac:dyDescent="0.35">
      <c r="B159" s="132"/>
      <c r="C159" s="186" t="s">
        <v>221</v>
      </c>
      <c r="D159" s="186" t="s">
        <v>32</v>
      </c>
      <c r="E159" s="186" t="b">
        <v>0</v>
      </c>
      <c r="F159" s="186" t="s">
        <v>12</v>
      </c>
      <c r="G159" s="186" t="s">
        <v>9</v>
      </c>
      <c r="H159" s="48" t="str">
        <f t="shared" si="6"/>
        <v>Wye OC|Horticulture|FALSE|700to900|FreeDrain</v>
      </c>
      <c r="I159" s="128">
        <v>8.0732535124593843E-2</v>
      </c>
      <c r="J159" s="128">
        <v>17.831214225538719</v>
      </c>
      <c r="K159" s="37" t="str">
        <f t="shared" si="5"/>
        <v>Horticulture|700to900</v>
      </c>
      <c r="L159" s="128">
        <f>AVERAGE(I159,I161,I163)</f>
        <v>0.3483098446184611</v>
      </c>
      <c r="M159" s="128">
        <f>AVERAGE(J159,J161,J163)</f>
        <v>14.003656086227901</v>
      </c>
      <c r="N159" s="52"/>
      <c r="O159" s="38"/>
      <c r="P159" s="133"/>
    </row>
    <row r="160" spans="2:16" x14ac:dyDescent="0.35">
      <c r="B160" s="132"/>
      <c r="C160" s="186" t="s">
        <v>221</v>
      </c>
      <c r="D160" s="186" t="s">
        <v>32</v>
      </c>
      <c r="E160" s="186" t="b">
        <v>1</v>
      </c>
      <c r="F160" s="186" t="s">
        <v>12</v>
      </c>
      <c r="G160" s="186" t="s">
        <v>9</v>
      </c>
      <c r="H160" s="48" t="str">
        <f t="shared" si="6"/>
        <v>Wye OC|Horticulture|TRUE|700to900|FreeDrain</v>
      </c>
      <c r="I160" s="128">
        <v>8.0732535124593843E-2</v>
      </c>
      <c r="J160" s="128">
        <v>17.783821886270275</v>
      </c>
      <c r="K160" s="37" t="str">
        <f t="shared" si="5"/>
        <v>Horticulture|700to900</v>
      </c>
      <c r="L160" s="128"/>
      <c r="M160" s="128"/>
      <c r="N160" s="52"/>
      <c r="O160" s="38"/>
      <c r="P160" s="133"/>
    </row>
    <row r="161" spans="2:16" x14ac:dyDescent="0.35">
      <c r="B161" s="132"/>
      <c r="C161" s="186" t="s">
        <v>221</v>
      </c>
      <c r="D161" s="186" t="s">
        <v>32</v>
      </c>
      <c r="E161" s="186" t="b">
        <v>0</v>
      </c>
      <c r="F161" s="186" t="s">
        <v>12</v>
      </c>
      <c r="G161" s="186" t="s">
        <v>10</v>
      </c>
      <c r="H161" s="48" t="str">
        <f t="shared" si="6"/>
        <v>Wye OC|Horticulture|FALSE|700to900|DrainedAr</v>
      </c>
      <c r="I161" s="128">
        <v>0.39584048616705786</v>
      </c>
      <c r="J161" s="128">
        <v>12.819227881053804</v>
      </c>
      <c r="K161" s="37" t="str">
        <f t="shared" si="5"/>
        <v>Horticulture|700to900</v>
      </c>
      <c r="L161" s="128"/>
      <c r="M161" s="128"/>
      <c r="N161" s="52"/>
      <c r="O161" s="38"/>
      <c r="P161" s="133"/>
    </row>
    <row r="162" spans="2:16" x14ac:dyDescent="0.35">
      <c r="B162" s="132"/>
      <c r="C162" s="186" t="s">
        <v>221</v>
      </c>
      <c r="D162" s="186" t="s">
        <v>32</v>
      </c>
      <c r="E162" s="186" t="b">
        <v>1</v>
      </c>
      <c r="F162" s="186" t="s">
        <v>12</v>
      </c>
      <c r="G162" s="186" t="s">
        <v>10</v>
      </c>
      <c r="H162" s="48" t="str">
        <f t="shared" si="6"/>
        <v>Wye OC|Horticulture|TRUE|700to900|DrainedAr</v>
      </c>
      <c r="I162" s="128">
        <v>0.39584048616705786</v>
      </c>
      <c r="J162" s="128">
        <v>12.787858177456988</v>
      </c>
      <c r="K162" s="37" t="str">
        <f t="shared" si="5"/>
        <v>Horticulture|700to900</v>
      </c>
      <c r="L162" s="128"/>
      <c r="M162" s="128"/>
      <c r="N162" s="52"/>
      <c r="O162" s="38"/>
      <c r="P162" s="133"/>
    </row>
    <row r="163" spans="2:16" x14ac:dyDescent="0.35">
      <c r="B163" s="132"/>
      <c r="C163" s="186" t="s">
        <v>221</v>
      </c>
      <c r="D163" s="186" t="s">
        <v>32</v>
      </c>
      <c r="E163" s="186" t="b">
        <v>0</v>
      </c>
      <c r="F163" s="186" t="s">
        <v>12</v>
      </c>
      <c r="G163" s="186" t="s">
        <v>11</v>
      </c>
      <c r="H163" s="48" t="str">
        <f t="shared" si="6"/>
        <v>Wye OC|Horticulture|FALSE|700to900|DrainedArGr</v>
      </c>
      <c r="I163" s="128">
        <v>0.56835651256373154</v>
      </c>
      <c r="J163" s="128">
        <v>11.360526152091184</v>
      </c>
      <c r="K163" s="37" t="str">
        <f t="shared" si="5"/>
        <v>Horticulture|700to900</v>
      </c>
      <c r="L163" s="128"/>
      <c r="M163" s="128"/>
      <c r="N163" s="52"/>
      <c r="O163" s="38"/>
      <c r="P163" s="133"/>
    </row>
    <row r="164" spans="2:16" x14ac:dyDescent="0.35">
      <c r="B164" s="132"/>
      <c r="C164" s="186" t="s">
        <v>221</v>
      </c>
      <c r="D164" s="186" t="s">
        <v>32</v>
      </c>
      <c r="E164" s="186" t="b">
        <v>1</v>
      </c>
      <c r="F164" s="186" t="s">
        <v>12</v>
      </c>
      <c r="G164" s="186" t="s">
        <v>11</v>
      </c>
      <c r="H164" s="48" t="str">
        <f t="shared" si="6"/>
        <v>Wye OC|Horticulture|TRUE|700to900|DrainedArGr</v>
      </c>
      <c r="I164" s="128">
        <v>0.56835651256373154</v>
      </c>
      <c r="J164" s="128">
        <v>11.335381616763348</v>
      </c>
      <c r="K164" s="37" t="str">
        <f t="shared" si="5"/>
        <v>Horticulture|700to900</v>
      </c>
      <c r="L164" s="128"/>
      <c r="M164" s="128"/>
      <c r="N164" s="52"/>
      <c r="O164" s="38"/>
      <c r="P164" s="133"/>
    </row>
    <row r="165" spans="2:16" x14ac:dyDescent="0.35">
      <c r="B165" s="132"/>
      <c r="C165" s="186" t="s">
        <v>221</v>
      </c>
      <c r="D165" s="186" t="s">
        <v>32</v>
      </c>
      <c r="E165" s="186" t="b">
        <v>0</v>
      </c>
      <c r="F165" s="186" t="s">
        <v>22</v>
      </c>
      <c r="G165" s="186" t="s">
        <v>9</v>
      </c>
      <c r="H165" s="48" t="str">
        <f t="shared" si="6"/>
        <v>Wye OC|Horticulture|FALSE|900to1200|FreeDrain</v>
      </c>
      <c r="I165" s="128">
        <v>0.14860773560524315</v>
      </c>
      <c r="J165" s="128">
        <v>20.598726362990522</v>
      </c>
      <c r="K165" s="37" t="str">
        <f t="shared" si="5"/>
        <v>Horticulture|900to1200</v>
      </c>
      <c r="L165" s="128">
        <f>AVERAGE(I165:I166,I258)</f>
        <v>0.59293354667540366</v>
      </c>
      <c r="M165" s="128">
        <f>AVERAGE(J165:J166,J258)</f>
        <v>17.082667700415762</v>
      </c>
      <c r="N165" s="52"/>
      <c r="O165" s="38"/>
      <c r="P165" s="133"/>
    </row>
    <row r="166" spans="2:16" x14ac:dyDescent="0.35">
      <c r="B166" s="132"/>
      <c r="C166" s="186" t="s">
        <v>221</v>
      </c>
      <c r="D166" s="186" t="s">
        <v>32</v>
      </c>
      <c r="E166" s="186" t="b">
        <v>0</v>
      </c>
      <c r="F166" s="186" t="s">
        <v>22</v>
      </c>
      <c r="G166" s="186" t="s">
        <v>11</v>
      </c>
      <c r="H166" s="48" t="str">
        <f t="shared" si="6"/>
        <v>Wye OC|Horticulture|FALSE|900to1200|DrainedArGr</v>
      </c>
      <c r="I166" s="128">
        <v>0.92904686905425704</v>
      </c>
      <c r="J166" s="128">
        <v>14.039060461847827</v>
      </c>
      <c r="K166" s="37" t="str">
        <f t="shared" si="5"/>
        <v>Horticulture|900to1200</v>
      </c>
      <c r="L166" s="128"/>
      <c r="M166" s="128"/>
      <c r="N166" s="52"/>
      <c r="O166" s="38"/>
      <c r="P166" s="133"/>
    </row>
    <row r="167" spans="2:16" x14ac:dyDescent="0.35">
      <c r="B167" s="132"/>
      <c r="C167" s="186" t="s">
        <v>221</v>
      </c>
      <c r="D167" s="186" t="s">
        <v>42</v>
      </c>
      <c r="E167" s="186" t="b">
        <v>1</v>
      </c>
      <c r="F167" s="186" t="s">
        <v>12</v>
      </c>
      <c r="G167" s="186" t="s">
        <v>9</v>
      </c>
      <c r="H167" s="48" t="str">
        <f t="shared" si="6"/>
        <v>Wye OC|Pig|TRUE|700to900|FreeDrain</v>
      </c>
      <c r="I167" s="128">
        <v>0.13339844977159701</v>
      </c>
      <c r="J167" s="128">
        <v>63.528814280936309</v>
      </c>
      <c r="K167" s="37" t="str">
        <f t="shared" si="5"/>
        <v>Pig|700to900</v>
      </c>
      <c r="L167" s="128">
        <f>AVERAGE(I167,I263:I264)</f>
        <v>0.55496951211614609</v>
      </c>
      <c r="M167" s="128">
        <f>AVERAGE(J167,J263:J264)</f>
        <v>51.662303384966606</v>
      </c>
      <c r="N167" s="52"/>
      <c r="O167" s="38"/>
      <c r="P167" s="133"/>
    </row>
    <row r="168" spans="2:16" x14ac:dyDescent="0.35">
      <c r="B168" s="132"/>
      <c r="C168" s="186" t="s">
        <v>221</v>
      </c>
      <c r="D168" s="186" t="s">
        <v>47</v>
      </c>
      <c r="E168" s="186" t="b">
        <v>1</v>
      </c>
      <c r="F168" s="186" t="s">
        <v>8</v>
      </c>
      <c r="G168" s="186" t="s">
        <v>9</v>
      </c>
      <c r="H168" s="48" t="str">
        <f t="shared" si="6"/>
        <v>Wye OC|Poultry|TRUE|600to700|FreeDrain</v>
      </c>
      <c r="I168" s="128">
        <v>0.11006988237116501</v>
      </c>
      <c r="J168" s="128">
        <v>231.55954843018483</v>
      </c>
      <c r="K168" s="37" t="str">
        <f t="shared" si="5"/>
        <v>Poultry|600to700</v>
      </c>
      <c r="L168" s="128">
        <f>AVERAGE(I168:I169)</f>
        <v>0.21215686361149608</v>
      </c>
      <c r="M168" s="128">
        <f>AVERAGE(J168:J169)</f>
        <v>187.52184503374602</v>
      </c>
      <c r="N168" s="52"/>
      <c r="O168" s="38"/>
      <c r="P168" s="133"/>
    </row>
    <row r="169" spans="2:16" x14ac:dyDescent="0.35">
      <c r="B169" s="132"/>
      <c r="C169" s="186" t="s">
        <v>221</v>
      </c>
      <c r="D169" s="186" t="s">
        <v>47</v>
      </c>
      <c r="E169" s="186" t="b">
        <v>1</v>
      </c>
      <c r="F169" s="186" t="s">
        <v>8</v>
      </c>
      <c r="G169" s="186" t="s">
        <v>10</v>
      </c>
      <c r="H169" s="48" t="str">
        <f t="shared" si="6"/>
        <v>Wye OC|Poultry|TRUE|600to700|DrainedAr</v>
      </c>
      <c r="I169" s="128">
        <v>0.31424384485182716</v>
      </c>
      <c r="J169" s="128">
        <v>143.4841416373072</v>
      </c>
      <c r="K169" s="37" t="str">
        <f t="shared" si="5"/>
        <v>Poultry|600to700</v>
      </c>
      <c r="L169" s="128"/>
      <c r="M169" s="128"/>
      <c r="N169" s="52"/>
      <c r="O169" s="38"/>
      <c r="P169" s="133"/>
    </row>
    <row r="170" spans="2:16" x14ac:dyDescent="0.35">
      <c r="B170" s="132"/>
      <c r="C170" s="186" t="s">
        <v>221</v>
      </c>
      <c r="D170" s="186" t="s">
        <v>47</v>
      </c>
      <c r="E170" s="186" t="b">
        <v>0</v>
      </c>
      <c r="F170" s="186" t="s">
        <v>12</v>
      </c>
      <c r="G170" s="186" t="s">
        <v>9</v>
      </c>
      <c r="H170" s="48" t="str">
        <f t="shared" si="6"/>
        <v>Wye OC|Poultry|FALSE|700to900|FreeDrain</v>
      </c>
      <c r="I170" s="128">
        <v>0.24112203653570294</v>
      </c>
      <c r="J170" s="128">
        <v>271.44345770626614</v>
      </c>
      <c r="K170" s="37" t="str">
        <f t="shared" si="5"/>
        <v>Poultry|700to900</v>
      </c>
      <c r="L170" s="128">
        <f>AVERAGE(I170,I172,I173)</f>
        <v>0.66898937025842387</v>
      </c>
      <c r="M170" s="128">
        <f>AVERAGE(J170,J172,J173)</f>
        <v>200.2289034765306</v>
      </c>
      <c r="N170" s="52"/>
      <c r="O170" s="38"/>
      <c r="P170" s="133"/>
    </row>
    <row r="171" spans="2:16" x14ac:dyDescent="0.35">
      <c r="B171" s="132"/>
      <c r="C171" s="186" t="s">
        <v>221</v>
      </c>
      <c r="D171" s="186" t="s">
        <v>47</v>
      </c>
      <c r="E171" s="186" t="b">
        <v>1</v>
      </c>
      <c r="F171" s="186" t="s">
        <v>12</v>
      </c>
      <c r="G171" s="186" t="s">
        <v>9</v>
      </c>
      <c r="H171" s="48" t="str">
        <f t="shared" si="6"/>
        <v>Wye OC|Poultry|TRUE|700to900|FreeDrain</v>
      </c>
      <c r="I171" s="128">
        <v>0.23248722323370674</v>
      </c>
      <c r="J171" s="128">
        <v>272.59647313057297</v>
      </c>
      <c r="K171" s="37" t="str">
        <f t="shared" si="5"/>
        <v>Poultry|700to900</v>
      </c>
      <c r="L171" s="128"/>
      <c r="M171" s="128"/>
      <c r="N171" s="52"/>
      <c r="O171" s="38"/>
      <c r="P171" s="133"/>
    </row>
    <row r="172" spans="2:16" x14ac:dyDescent="0.35">
      <c r="B172" s="132"/>
      <c r="C172" s="186" t="s">
        <v>221</v>
      </c>
      <c r="D172" s="186" t="s">
        <v>47</v>
      </c>
      <c r="E172" s="186" t="b">
        <v>1</v>
      </c>
      <c r="F172" s="186" t="s">
        <v>12</v>
      </c>
      <c r="G172" s="186" t="s">
        <v>10</v>
      </c>
      <c r="H172" s="48" t="str">
        <f t="shared" si="6"/>
        <v>Wye OC|Poultry|TRUE|700to900|DrainedAr</v>
      </c>
      <c r="I172" s="128">
        <v>0.61018054838322422</v>
      </c>
      <c r="J172" s="128">
        <v>177.94219884068121</v>
      </c>
      <c r="K172" s="37" t="str">
        <f t="shared" si="5"/>
        <v>Poultry|700to900</v>
      </c>
      <c r="L172" s="128"/>
      <c r="M172" s="128"/>
      <c r="N172" s="52"/>
      <c r="O172" s="38"/>
      <c r="P172" s="133"/>
    </row>
    <row r="173" spans="2:16" x14ac:dyDescent="0.35">
      <c r="B173" s="132"/>
      <c r="C173" s="186" t="s">
        <v>221</v>
      </c>
      <c r="D173" s="186" t="s">
        <v>47</v>
      </c>
      <c r="E173" s="186" t="b">
        <v>0</v>
      </c>
      <c r="F173" s="186" t="s">
        <v>12</v>
      </c>
      <c r="G173" s="186" t="s">
        <v>11</v>
      </c>
      <c r="H173" s="48" t="str">
        <f t="shared" si="6"/>
        <v>Wye OC|Poultry|FALSE|700to900|DrainedArGr</v>
      </c>
      <c r="I173" s="128">
        <v>1.1556655258563446</v>
      </c>
      <c r="J173" s="128">
        <v>151.30105388264445</v>
      </c>
      <c r="K173" s="37" t="str">
        <f t="shared" si="5"/>
        <v>Poultry|700to900</v>
      </c>
      <c r="L173" s="128"/>
      <c r="M173" s="128"/>
      <c r="N173" s="52"/>
      <c r="O173" s="38"/>
      <c r="P173" s="133"/>
    </row>
    <row r="174" spans="2:16" x14ac:dyDescent="0.35">
      <c r="B174" s="132"/>
      <c r="C174" s="186" t="s">
        <v>221</v>
      </c>
      <c r="D174" s="186" t="s">
        <v>47</v>
      </c>
      <c r="E174" s="186" t="b">
        <v>1</v>
      </c>
      <c r="F174" s="186" t="s">
        <v>12</v>
      </c>
      <c r="G174" s="186" t="s">
        <v>11</v>
      </c>
      <c r="H174" s="48" t="str">
        <f t="shared" si="6"/>
        <v>Wye OC|Poultry|TRUE|700to900|DrainedArGr</v>
      </c>
      <c r="I174" s="128">
        <v>1.0817916787046333</v>
      </c>
      <c r="J174" s="128">
        <v>140.11904174491005</v>
      </c>
      <c r="K174" s="37" t="str">
        <f t="shared" si="5"/>
        <v>Poultry|700to900</v>
      </c>
      <c r="L174" s="128"/>
      <c r="M174" s="128"/>
      <c r="N174" s="52"/>
      <c r="O174" s="38"/>
      <c r="P174" s="133"/>
    </row>
    <row r="175" spans="2:16" x14ac:dyDescent="0.35">
      <c r="B175" s="132"/>
      <c r="C175" s="186" t="s">
        <v>221</v>
      </c>
      <c r="D175" s="186" t="s">
        <v>47</v>
      </c>
      <c r="E175" s="186" t="b">
        <v>0</v>
      </c>
      <c r="F175" s="186" t="s">
        <v>22</v>
      </c>
      <c r="G175" s="186" t="s">
        <v>9</v>
      </c>
      <c r="H175" s="48" t="str">
        <f t="shared" si="6"/>
        <v>Wye OC|Poultry|FALSE|900to1200|FreeDrain</v>
      </c>
      <c r="I175" s="128">
        <v>0.36243999210839356</v>
      </c>
      <c r="J175" s="128">
        <v>284.42765251816729</v>
      </c>
      <c r="K175" s="37" t="str">
        <f t="shared" si="5"/>
        <v>Poultry|900to1200</v>
      </c>
      <c r="L175" s="128">
        <f>AVERAGE(I175:I176,I278)</f>
        <v>1.1662296241524466</v>
      </c>
      <c r="M175" s="128">
        <f>AVERAGE(J175:J176,J278)</f>
        <v>240.96552076971943</v>
      </c>
      <c r="N175" s="52"/>
      <c r="O175" s="38"/>
      <c r="P175" s="133"/>
    </row>
    <row r="176" spans="2:16" x14ac:dyDescent="0.35">
      <c r="B176" s="132"/>
      <c r="C176" s="186" t="s">
        <v>221</v>
      </c>
      <c r="D176" s="186" t="s">
        <v>47</v>
      </c>
      <c r="E176" s="186" t="b">
        <v>0</v>
      </c>
      <c r="F176" s="186" t="s">
        <v>22</v>
      </c>
      <c r="G176" s="186" t="s">
        <v>11</v>
      </c>
      <c r="H176" s="48" t="str">
        <f t="shared" si="6"/>
        <v>Wye OC|Poultry|FALSE|900to1200|DrainedArGr</v>
      </c>
      <c r="I176" s="128">
        <v>1.8226054658594517</v>
      </c>
      <c r="J176" s="128">
        <v>163.33691985010429</v>
      </c>
      <c r="K176" s="37" t="str">
        <f t="shared" si="5"/>
        <v>Poultry|900to1200</v>
      </c>
      <c r="L176" s="128"/>
      <c r="M176" s="128"/>
      <c r="N176" s="52"/>
      <c r="O176" s="38"/>
      <c r="P176" s="133"/>
    </row>
    <row r="177" spans="2:16" x14ac:dyDescent="0.35">
      <c r="B177" s="132"/>
      <c r="C177" s="186" t="s">
        <v>221</v>
      </c>
      <c r="D177" s="186" t="s">
        <v>55</v>
      </c>
      <c r="E177" s="186" t="b">
        <v>1</v>
      </c>
      <c r="F177" s="186" t="s">
        <v>8</v>
      </c>
      <c r="G177" s="186" t="s">
        <v>9</v>
      </c>
      <c r="H177" s="48" t="str">
        <f t="shared" si="6"/>
        <v>Wye OC|Dairy|TRUE|600to700|FreeDrain</v>
      </c>
      <c r="I177" s="128">
        <v>0.10571047573065682</v>
      </c>
      <c r="J177" s="128">
        <v>34.812927494603755</v>
      </c>
      <c r="K177" s="37" t="str">
        <f t="shared" si="5"/>
        <v>Dairy|600to700</v>
      </c>
      <c r="L177" s="128">
        <f>AVERAGE(I177:I179)</f>
        <v>0.38527979636116222</v>
      </c>
      <c r="M177" s="128">
        <f>AVERAGE(J177:J179)</f>
        <v>25.274470118290669</v>
      </c>
      <c r="N177" s="52"/>
      <c r="O177" s="38"/>
      <c r="P177" s="133"/>
    </row>
    <row r="178" spans="2:16" x14ac:dyDescent="0.35">
      <c r="B178" s="132"/>
      <c r="C178" s="186" t="s">
        <v>221</v>
      </c>
      <c r="D178" s="186" t="s">
        <v>55</v>
      </c>
      <c r="E178" s="186" t="b">
        <v>1</v>
      </c>
      <c r="F178" s="186" t="s">
        <v>8</v>
      </c>
      <c r="G178" s="186" t="s">
        <v>10</v>
      </c>
      <c r="H178" s="48" t="str">
        <f t="shared" si="6"/>
        <v>Wye OC|Dairy|TRUE|600to700|DrainedAr</v>
      </c>
      <c r="I178" s="128">
        <v>0.19822613719987942</v>
      </c>
      <c r="J178" s="128">
        <v>23.195055955217207</v>
      </c>
      <c r="K178" s="37" t="str">
        <f t="shared" si="5"/>
        <v>Dairy|600to700</v>
      </c>
      <c r="L178" s="128"/>
      <c r="M178" s="128"/>
      <c r="N178" s="52"/>
      <c r="O178" s="38"/>
      <c r="P178" s="133"/>
    </row>
    <row r="179" spans="2:16" x14ac:dyDescent="0.35">
      <c r="B179" s="132"/>
      <c r="C179" s="186" t="s">
        <v>221</v>
      </c>
      <c r="D179" s="186" t="s">
        <v>55</v>
      </c>
      <c r="E179" s="186" t="b">
        <v>1</v>
      </c>
      <c r="F179" s="186" t="s">
        <v>8</v>
      </c>
      <c r="G179" s="186" t="s">
        <v>11</v>
      </c>
      <c r="H179" s="48" t="str">
        <f t="shared" si="6"/>
        <v>Wye OC|Dairy|TRUE|600to700|DrainedArGr</v>
      </c>
      <c r="I179" s="128">
        <v>0.85190277615295029</v>
      </c>
      <c r="J179" s="128">
        <v>17.815426905051048</v>
      </c>
      <c r="K179" s="37" t="str">
        <f t="shared" si="5"/>
        <v>Dairy|600to700</v>
      </c>
      <c r="L179" s="128"/>
      <c r="M179" s="128"/>
      <c r="N179" s="52"/>
      <c r="O179" s="38"/>
      <c r="P179" s="133"/>
    </row>
    <row r="180" spans="2:16" x14ac:dyDescent="0.35">
      <c r="B180" s="132"/>
      <c r="C180" s="186" t="s">
        <v>221</v>
      </c>
      <c r="D180" s="186" t="s">
        <v>55</v>
      </c>
      <c r="E180" s="186" t="b">
        <v>1</v>
      </c>
      <c r="F180" s="186" t="s">
        <v>12</v>
      </c>
      <c r="G180" s="186" t="s">
        <v>9</v>
      </c>
      <c r="H180" s="48" t="str">
        <f t="shared" si="6"/>
        <v>Wye OC|Dairy|TRUE|700to900|FreeDrain</v>
      </c>
      <c r="I180" s="128">
        <v>0.16916573410880373</v>
      </c>
      <c r="J180" s="128">
        <v>47.970966164645418</v>
      </c>
      <c r="K180" s="37" t="str">
        <f t="shared" si="5"/>
        <v>Dairy|700to900</v>
      </c>
      <c r="L180" s="128">
        <f>AVERAGE(I180:I182)</f>
        <v>0.5932798307398861</v>
      </c>
      <c r="M180" s="128">
        <f>AVERAGE(J180:J182)</f>
        <v>35.472077538220468</v>
      </c>
      <c r="N180" s="52"/>
      <c r="O180" s="38"/>
      <c r="P180" s="133"/>
    </row>
    <row r="181" spans="2:16" x14ac:dyDescent="0.35">
      <c r="B181" s="132"/>
      <c r="C181" s="186" t="s">
        <v>221</v>
      </c>
      <c r="D181" s="186" t="s">
        <v>55</v>
      </c>
      <c r="E181" s="186" t="b">
        <v>1</v>
      </c>
      <c r="F181" s="186" t="s">
        <v>12</v>
      </c>
      <c r="G181" s="186" t="s">
        <v>10</v>
      </c>
      <c r="H181" s="48" t="str">
        <f t="shared" si="6"/>
        <v>Wye OC|Dairy|TRUE|700to900|DrainedAr</v>
      </c>
      <c r="I181" s="128">
        <v>0.35545015746159248</v>
      </c>
      <c r="J181" s="128">
        <v>36.879539673893518</v>
      </c>
      <c r="K181" s="37" t="str">
        <f t="shared" si="5"/>
        <v>Dairy|700to900</v>
      </c>
      <c r="L181" s="128"/>
      <c r="M181" s="128"/>
      <c r="N181" s="52"/>
      <c r="O181" s="38"/>
      <c r="P181" s="133"/>
    </row>
    <row r="182" spans="2:16" x14ac:dyDescent="0.35">
      <c r="B182" s="132"/>
      <c r="C182" s="186" t="s">
        <v>221</v>
      </c>
      <c r="D182" s="186" t="s">
        <v>55</v>
      </c>
      <c r="E182" s="186" t="b">
        <v>1</v>
      </c>
      <c r="F182" s="186" t="s">
        <v>12</v>
      </c>
      <c r="G182" s="186" t="s">
        <v>11</v>
      </c>
      <c r="H182" s="48" t="str">
        <f t="shared" si="6"/>
        <v>Wye OC|Dairy|TRUE|700to900|DrainedArGr</v>
      </c>
      <c r="I182" s="128">
        <v>1.2552236006492621</v>
      </c>
      <c r="J182" s="128">
        <v>21.565726776122457</v>
      </c>
      <c r="K182" s="37" t="str">
        <f t="shared" si="5"/>
        <v>Dairy|700to900</v>
      </c>
      <c r="L182" s="128"/>
      <c r="M182" s="128"/>
      <c r="N182" s="52"/>
      <c r="O182" s="38"/>
      <c r="P182" s="133"/>
    </row>
    <row r="183" spans="2:16" x14ac:dyDescent="0.35">
      <c r="B183" s="132"/>
      <c r="C183" s="186" t="s">
        <v>221</v>
      </c>
      <c r="D183" s="186" t="s">
        <v>55</v>
      </c>
      <c r="E183" s="186" t="b">
        <v>0</v>
      </c>
      <c r="F183" s="186" t="s">
        <v>22</v>
      </c>
      <c r="G183" s="186" t="s">
        <v>9</v>
      </c>
      <c r="H183" s="48" t="str">
        <f t="shared" si="6"/>
        <v>Wye OC|Dairy|FALSE|900to1200|FreeDrain</v>
      </c>
      <c r="I183" s="128">
        <v>0.24851749234042242</v>
      </c>
      <c r="J183" s="128">
        <v>51.203539488806214</v>
      </c>
      <c r="K183" s="37" t="str">
        <f t="shared" si="5"/>
        <v>Dairy|900to1200</v>
      </c>
      <c r="L183" s="128">
        <f>AVERAGE(I183,I290)</f>
        <v>0.44505211928450772</v>
      </c>
      <c r="M183" s="128">
        <f>AVERAGE(J183,J290)</f>
        <v>48.835434161262896</v>
      </c>
      <c r="N183" s="52"/>
      <c r="O183" s="38"/>
      <c r="P183" s="133"/>
    </row>
    <row r="184" spans="2:16" x14ac:dyDescent="0.35">
      <c r="B184" s="132"/>
      <c r="C184" s="186" t="s">
        <v>221</v>
      </c>
      <c r="D184" s="186" t="s">
        <v>57</v>
      </c>
      <c r="E184" s="186" t="b">
        <v>1</v>
      </c>
      <c r="F184" s="186" t="s">
        <v>8</v>
      </c>
      <c r="G184" s="186" t="s">
        <v>9</v>
      </c>
      <c r="H184" s="48" t="str">
        <f t="shared" si="6"/>
        <v>Wye OC|LFA|TRUE|600to700|FreeDrain</v>
      </c>
      <c r="I184" s="128">
        <v>5.0177667993040923E-2</v>
      </c>
      <c r="J184" s="128">
        <v>9.990256747999382</v>
      </c>
      <c r="K184" s="37" t="str">
        <f t="shared" si="5"/>
        <v>LFA|600to700</v>
      </c>
      <c r="L184" s="128">
        <f>AVERAGE(I184:I185)</f>
        <v>5.5539509775693413E-2</v>
      </c>
      <c r="M184" s="128">
        <f>AVERAGE(J184:J185)</f>
        <v>8.4308143812480338</v>
      </c>
      <c r="N184" s="52"/>
      <c r="O184" s="38"/>
      <c r="P184" s="133"/>
    </row>
    <row r="185" spans="2:16" x14ac:dyDescent="0.35">
      <c r="B185" s="132"/>
      <c r="C185" s="186" t="s">
        <v>221</v>
      </c>
      <c r="D185" s="186" t="s">
        <v>57</v>
      </c>
      <c r="E185" s="186" t="b">
        <v>1</v>
      </c>
      <c r="F185" s="186" t="s">
        <v>8</v>
      </c>
      <c r="G185" s="186" t="s">
        <v>10</v>
      </c>
      <c r="H185" s="48" t="str">
        <f t="shared" si="6"/>
        <v>Wye OC|LFA|TRUE|600to700|DrainedAr</v>
      </c>
      <c r="I185" s="128">
        <v>6.0901351558345904E-2</v>
      </c>
      <c r="J185" s="128">
        <v>6.8713720144966839</v>
      </c>
      <c r="K185" s="37" t="str">
        <f t="shared" si="5"/>
        <v>LFA|600to700</v>
      </c>
      <c r="L185" s="128"/>
      <c r="M185" s="128"/>
      <c r="N185" s="52"/>
      <c r="O185" s="38"/>
      <c r="P185" s="133"/>
    </row>
    <row r="186" spans="2:16" x14ac:dyDescent="0.35">
      <c r="B186" s="132"/>
      <c r="C186" s="186" t="s">
        <v>221</v>
      </c>
      <c r="D186" s="186" t="s">
        <v>57</v>
      </c>
      <c r="E186" s="186" t="b">
        <v>0</v>
      </c>
      <c r="F186" s="186" t="s">
        <v>12</v>
      </c>
      <c r="G186" s="186" t="s">
        <v>9</v>
      </c>
      <c r="H186" s="48" t="str">
        <f t="shared" si="6"/>
        <v>Wye OC|LFA|FALSE|700to900|FreeDrain</v>
      </c>
      <c r="I186" s="128">
        <v>8.8013583993368061E-2</v>
      </c>
      <c r="J186" s="128">
        <v>14.676466984361511</v>
      </c>
      <c r="K186" s="37" t="str">
        <f t="shared" si="5"/>
        <v>LFA|700to900</v>
      </c>
      <c r="L186" s="128">
        <f>AVERAGE(I186,I188:I189)</f>
        <v>0.27554589037863103</v>
      </c>
      <c r="M186" s="128">
        <f>AVERAGE(J186,J188:J189)</f>
        <v>11.918446438558661</v>
      </c>
      <c r="N186" s="52"/>
      <c r="O186" s="38"/>
      <c r="P186" s="133"/>
    </row>
    <row r="187" spans="2:16" x14ac:dyDescent="0.35">
      <c r="B187" s="132"/>
      <c r="C187" s="186" t="s">
        <v>221</v>
      </c>
      <c r="D187" s="186" t="s">
        <v>57</v>
      </c>
      <c r="E187" s="186" t="b">
        <v>1</v>
      </c>
      <c r="F187" s="186" t="s">
        <v>12</v>
      </c>
      <c r="G187" s="186" t="s">
        <v>9</v>
      </c>
      <c r="H187" s="48" t="str">
        <f t="shared" si="6"/>
        <v>Wye OC|LFA|TRUE|700to900|FreeDrain</v>
      </c>
      <c r="I187" s="128">
        <v>8.8013483135252632E-2</v>
      </c>
      <c r="J187" s="128">
        <v>14.614412375593567</v>
      </c>
      <c r="K187" s="37" t="str">
        <f t="shared" si="5"/>
        <v>LFA|700to900</v>
      </c>
      <c r="L187" s="128"/>
      <c r="M187" s="128"/>
      <c r="N187" s="52"/>
      <c r="O187" s="38"/>
      <c r="P187" s="133"/>
    </row>
    <row r="188" spans="2:16" x14ac:dyDescent="0.35">
      <c r="B188" s="132"/>
      <c r="C188" s="186" t="s">
        <v>221</v>
      </c>
      <c r="D188" s="186" t="s">
        <v>57</v>
      </c>
      <c r="E188" s="186" t="b">
        <v>1</v>
      </c>
      <c r="F188" s="186" t="s">
        <v>12</v>
      </c>
      <c r="G188" s="186" t="s">
        <v>10</v>
      </c>
      <c r="H188" s="48" t="str">
        <f t="shared" si="6"/>
        <v>Wye OC|LFA|TRUE|700to900|DrainedAr</v>
      </c>
      <c r="I188" s="128">
        <v>0.10121316559603186</v>
      </c>
      <c r="J188" s="128">
        <v>11.569556871291711</v>
      </c>
      <c r="K188" s="37" t="str">
        <f t="shared" si="5"/>
        <v>LFA|700to900</v>
      </c>
      <c r="L188" s="128"/>
      <c r="M188" s="128"/>
      <c r="N188" s="52"/>
      <c r="O188" s="38"/>
      <c r="P188" s="133"/>
    </row>
    <row r="189" spans="2:16" x14ac:dyDescent="0.35">
      <c r="B189" s="132"/>
      <c r="C189" s="186" t="s">
        <v>221</v>
      </c>
      <c r="D189" s="186" t="s">
        <v>57</v>
      </c>
      <c r="E189" s="186" t="b">
        <v>1</v>
      </c>
      <c r="F189" s="186" t="s">
        <v>12</v>
      </c>
      <c r="G189" s="186" t="s">
        <v>11</v>
      </c>
      <c r="H189" s="48" t="str">
        <f t="shared" si="6"/>
        <v>Wye OC|LFA|TRUE|700to900|DrainedArGr</v>
      </c>
      <c r="I189" s="128">
        <v>0.63741092154649315</v>
      </c>
      <c r="J189" s="128">
        <v>9.5093154600227656</v>
      </c>
      <c r="K189" s="37" t="str">
        <f t="shared" si="5"/>
        <v>LFA|700to900</v>
      </c>
      <c r="L189" s="128"/>
      <c r="M189" s="128"/>
      <c r="N189" s="52"/>
      <c r="O189" s="38"/>
      <c r="P189" s="133"/>
    </row>
    <row r="190" spans="2:16" x14ac:dyDescent="0.35">
      <c r="B190" s="132"/>
      <c r="C190" s="186" t="s">
        <v>221</v>
      </c>
      <c r="D190" s="186" t="s">
        <v>57</v>
      </c>
      <c r="E190" s="186" t="b">
        <v>0</v>
      </c>
      <c r="F190" s="186" t="s">
        <v>22</v>
      </c>
      <c r="G190" s="186" t="s">
        <v>9</v>
      </c>
      <c r="H190" s="48" t="str">
        <f t="shared" si="6"/>
        <v>Wye OC|LFA|FALSE|900to1200|FreeDrain</v>
      </c>
      <c r="I190" s="128">
        <v>0.13777170370226005</v>
      </c>
      <c r="J190" s="128">
        <v>15.794394839775844</v>
      </c>
      <c r="K190" s="37" t="str">
        <f t="shared" si="5"/>
        <v>LFA|900to1200</v>
      </c>
      <c r="L190" s="128">
        <f>AVERAGE(I190,I300)</f>
        <v>0.16361145863178875</v>
      </c>
      <c r="M190" s="128">
        <f>AVERAGE(J190,J300)</f>
        <v>15.884762041213914</v>
      </c>
      <c r="N190" s="52"/>
      <c r="O190" s="38"/>
      <c r="P190" s="133"/>
    </row>
    <row r="191" spans="2:16" x14ac:dyDescent="0.35">
      <c r="B191" s="132"/>
      <c r="C191" s="186" t="s">
        <v>221</v>
      </c>
      <c r="D191" s="186" t="s">
        <v>58</v>
      </c>
      <c r="E191" s="186" t="b">
        <v>1</v>
      </c>
      <c r="F191" s="186" t="s">
        <v>8</v>
      </c>
      <c r="G191" s="186" t="s">
        <v>9</v>
      </c>
      <c r="H191" s="48" t="str">
        <f t="shared" si="6"/>
        <v>Wye OC|Lowland|TRUE|600to700|FreeDrain</v>
      </c>
      <c r="I191" s="128">
        <v>6.5147446623799135E-2</v>
      </c>
      <c r="J191" s="128">
        <v>14.604622862702545</v>
      </c>
      <c r="K191" s="37" t="str">
        <f t="shared" si="5"/>
        <v>Lowland|600to700</v>
      </c>
      <c r="L191" s="128">
        <f>AVERAGE(I191:I193)</f>
        <v>0.24294648460267365</v>
      </c>
      <c r="M191" s="128">
        <f>AVERAGE(J191:J193)</f>
        <v>11.423455483484226</v>
      </c>
      <c r="N191" s="52"/>
      <c r="O191" s="38"/>
      <c r="P191" s="133"/>
    </row>
    <row r="192" spans="2:16" x14ac:dyDescent="0.35">
      <c r="B192" s="132"/>
      <c r="C192" s="186" t="s">
        <v>221</v>
      </c>
      <c r="D192" s="186" t="s">
        <v>58</v>
      </c>
      <c r="E192" s="186" t="b">
        <v>1</v>
      </c>
      <c r="F192" s="186" t="s">
        <v>8</v>
      </c>
      <c r="G192" s="186" t="s">
        <v>10</v>
      </c>
      <c r="H192" s="48" t="str">
        <f t="shared" si="6"/>
        <v>Wye OC|Lowland|TRUE|600to700|DrainedAr</v>
      </c>
      <c r="I192" s="128">
        <v>0.11506442053278271</v>
      </c>
      <c r="J192" s="128">
        <v>9.8819707240452743</v>
      </c>
      <c r="K192" s="37" t="str">
        <f t="shared" si="5"/>
        <v>Lowland|600to700</v>
      </c>
      <c r="L192" s="128"/>
      <c r="M192" s="128"/>
      <c r="N192" s="52"/>
      <c r="O192" s="38"/>
      <c r="P192" s="133"/>
    </row>
    <row r="193" spans="2:16" x14ac:dyDescent="0.35">
      <c r="B193" s="132"/>
      <c r="C193" s="186" t="s">
        <v>221</v>
      </c>
      <c r="D193" s="186" t="s">
        <v>58</v>
      </c>
      <c r="E193" s="186" t="b">
        <v>1</v>
      </c>
      <c r="F193" s="186" t="s">
        <v>8</v>
      </c>
      <c r="G193" s="186" t="s">
        <v>11</v>
      </c>
      <c r="H193" s="48" t="str">
        <f t="shared" si="6"/>
        <v>Wye OC|Lowland|TRUE|600to700|DrainedArGr</v>
      </c>
      <c r="I193" s="128">
        <v>0.54862758665143907</v>
      </c>
      <c r="J193" s="128">
        <v>9.7837728637048595</v>
      </c>
      <c r="K193" s="37" t="str">
        <f t="shared" si="5"/>
        <v>Lowland|600to700</v>
      </c>
      <c r="L193" s="128"/>
      <c r="M193" s="128"/>
      <c r="N193" s="52"/>
      <c r="O193" s="38"/>
      <c r="P193" s="133"/>
    </row>
    <row r="194" spans="2:16" x14ac:dyDescent="0.35">
      <c r="B194" s="132"/>
      <c r="C194" s="186" t="s">
        <v>221</v>
      </c>
      <c r="D194" s="186" t="s">
        <v>58</v>
      </c>
      <c r="E194" s="186" t="b">
        <v>0</v>
      </c>
      <c r="F194" s="186" t="s">
        <v>12</v>
      </c>
      <c r="G194" s="186" t="s">
        <v>9</v>
      </c>
      <c r="H194" s="48" t="str">
        <f t="shared" si="6"/>
        <v>Wye OC|Lowland|FALSE|700to900|FreeDrain</v>
      </c>
      <c r="I194" s="128">
        <v>0.11299469405273836</v>
      </c>
      <c r="J194" s="128">
        <v>20.743298407139562</v>
      </c>
      <c r="K194" s="37" t="str">
        <f t="shared" si="5"/>
        <v>Lowland|700to900</v>
      </c>
      <c r="L194" s="128">
        <f>AVERAGE(I194,I196,I198)</f>
        <v>0.38896143960397372</v>
      </c>
      <c r="M194" s="128">
        <f>AVERAGE(J194,J196,J198)</f>
        <v>16.302645414144237</v>
      </c>
      <c r="N194" s="52"/>
      <c r="O194" s="38"/>
      <c r="P194" s="133"/>
    </row>
    <row r="195" spans="2:16" x14ac:dyDescent="0.35">
      <c r="B195" s="132"/>
      <c r="C195" s="186" t="s">
        <v>221</v>
      </c>
      <c r="D195" s="186" t="s">
        <v>58</v>
      </c>
      <c r="E195" s="186" t="b">
        <v>1</v>
      </c>
      <c r="F195" s="186" t="s">
        <v>12</v>
      </c>
      <c r="G195" s="186" t="s">
        <v>9</v>
      </c>
      <c r="H195" s="48" t="str">
        <f t="shared" si="6"/>
        <v>Wye OC|Lowland|TRUE|700to900|FreeDrain</v>
      </c>
      <c r="I195" s="128">
        <v>0.11299449008298372</v>
      </c>
      <c r="J195" s="128">
        <v>20.619654465425324</v>
      </c>
      <c r="K195" s="37" t="str">
        <f t="shared" si="5"/>
        <v>Lowland|700to900</v>
      </c>
      <c r="L195" s="128"/>
      <c r="M195" s="128"/>
      <c r="N195" s="52"/>
      <c r="O195" s="38"/>
      <c r="P195" s="133"/>
    </row>
    <row r="196" spans="2:16" x14ac:dyDescent="0.35">
      <c r="B196" s="132"/>
      <c r="C196" s="186" t="s">
        <v>221</v>
      </c>
      <c r="D196" s="186" t="s">
        <v>58</v>
      </c>
      <c r="E196" s="186" t="b">
        <v>0</v>
      </c>
      <c r="F196" s="186" t="s">
        <v>12</v>
      </c>
      <c r="G196" s="186" t="s">
        <v>10</v>
      </c>
      <c r="H196" s="48" t="str">
        <f t="shared" si="6"/>
        <v>Wye OC|Lowland|FALSE|700to900|DrainedAr</v>
      </c>
      <c r="I196" s="128">
        <v>0.20716184018029851</v>
      </c>
      <c r="J196" s="128">
        <v>16.103275042731696</v>
      </c>
      <c r="K196" s="37" t="str">
        <f t="shared" si="5"/>
        <v>Lowland|700to900</v>
      </c>
      <c r="L196" s="128"/>
      <c r="M196" s="128"/>
      <c r="N196" s="52"/>
      <c r="O196" s="38"/>
      <c r="P196" s="133"/>
    </row>
    <row r="197" spans="2:16" x14ac:dyDescent="0.35">
      <c r="B197" s="132"/>
      <c r="C197" s="186" t="s">
        <v>221</v>
      </c>
      <c r="D197" s="186" t="s">
        <v>58</v>
      </c>
      <c r="E197" s="186" t="b">
        <v>1</v>
      </c>
      <c r="F197" s="186" t="s">
        <v>12</v>
      </c>
      <c r="G197" s="186" t="s">
        <v>10</v>
      </c>
      <c r="H197" s="48" t="str">
        <f t="shared" si="6"/>
        <v>Wye OC|Lowland|TRUE|700to900|DrainedAr</v>
      </c>
      <c r="I197" s="128">
        <v>0.20716158712054408</v>
      </c>
      <c r="J197" s="128">
        <v>16.008521556902625</v>
      </c>
      <c r="K197" s="37" t="str">
        <f t="shared" si="5"/>
        <v>Lowland|700to900</v>
      </c>
      <c r="L197" s="128"/>
      <c r="M197" s="128"/>
      <c r="N197" s="52"/>
      <c r="O197" s="38"/>
      <c r="P197" s="133"/>
    </row>
    <row r="198" spans="2:16" x14ac:dyDescent="0.35">
      <c r="B198" s="132"/>
      <c r="C198" s="186" t="s">
        <v>221</v>
      </c>
      <c r="D198" s="186" t="s">
        <v>58</v>
      </c>
      <c r="E198" s="186" t="b">
        <v>0</v>
      </c>
      <c r="F198" s="186" t="s">
        <v>12</v>
      </c>
      <c r="G198" s="186" t="s">
        <v>11</v>
      </c>
      <c r="H198" s="48" t="str">
        <f t="shared" si="6"/>
        <v>Wye OC|Lowland|FALSE|700to900|DrainedArGr</v>
      </c>
      <c r="I198" s="128">
        <v>0.84672778457888431</v>
      </c>
      <c r="J198" s="128">
        <v>12.061362792561455</v>
      </c>
      <c r="K198" s="37" t="str">
        <f t="shared" si="5"/>
        <v>Lowland|700to900</v>
      </c>
      <c r="L198" s="128"/>
      <c r="M198" s="128"/>
      <c r="N198" s="52"/>
      <c r="O198" s="38"/>
      <c r="P198" s="133"/>
    </row>
    <row r="199" spans="2:16" x14ac:dyDescent="0.35">
      <c r="B199" s="132"/>
      <c r="C199" s="186" t="s">
        <v>221</v>
      </c>
      <c r="D199" s="186" t="s">
        <v>58</v>
      </c>
      <c r="E199" s="186" t="b">
        <v>1</v>
      </c>
      <c r="F199" s="186" t="s">
        <v>12</v>
      </c>
      <c r="G199" s="186" t="s">
        <v>11</v>
      </c>
      <c r="H199" s="48" t="str">
        <f t="shared" si="6"/>
        <v>Wye OC|Lowland|TRUE|700to900|DrainedArGr</v>
      </c>
      <c r="I199" s="128">
        <v>0.84669837281154769</v>
      </c>
      <c r="J199" s="128">
        <v>12.037081369132915</v>
      </c>
      <c r="K199" s="37" t="str">
        <f t="shared" si="5"/>
        <v>Lowland|700to900</v>
      </c>
      <c r="L199" s="128"/>
      <c r="M199" s="128"/>
      <c r="N199" s="52"/>
      <c r="O199" s="38"/>
      <c r="P199" s="133"/>
    </row>
    <row r="200" spans="2:16" x14ac:dyDescent="0.35">
      <c r="B200" s="132"/>
      <c r="C200" s="186" t="s">
        <v>221</v>
      </c>
      <c r="D200" s="186" t="s">
        <v>58</v>
      </c>
      <c r="E200" s="186" t="b">
        <v>0</v>
      </c>
      <c r="F200" s="186" t="s">
        <v>22</v>
      </c>
      <c r="G200" s="186" t="s">
        <v>9</v>
      </c>
      <c r="H200" s="48" t="str">
        <f t="shared" si="6"/>
        <v>Wye OC|Lowland|FALSE|900to1200|FreeDrain</v>
      </c>
      <c r="I200" s="128">
        <v>0.17468249711779857</v>
      </c>
      <c r="J200" s="128">
        <v>22.184155343222276</v>
      </c>
      <c r="K200" s="37" t="str">
        <f t="shared" si="5"/>
        <v>Lowland|900to1200</v>
      </c>
      <c r="L200" s="128">
        <f>AVERAGE(I200,I202,I203)</f>
        <v>0.63781849617401987</v>
      </c>
      <c r="M200" s="128">
        <f>AVERAGE(J200,J202,J203)</f>
        <v>19.627806951196103</v>
      </c>
      <c r="N200" s="52"/>
      <c r="O200" s="38"/>
      <c r="P200" s="133"/>
    </row>
    <row r="201" spans="2:16" x14ac:dyDescent="0.35">
      <c r="B201" s="132"/>
      <c r="C201" s="186" t="s">
        <v>221</v>
      </c>
      <c r="D201" s="186" t="s">
        <v>58</v>
      </c>
      <c r="E201" s="186" t="b">
        <v>1</v>
      </c>
      <c r="F201" s="186" t="s">
        <v>22</v>
      </c>
      <c r="G201" s="186" t="s">
        <v>9</v>
      </c>
      <c r="H201" s="48" t="str">
        <f t="shared" si="6"/>
        <v>Wye OC|Lowland|TRUE|900to1200|FreeDrain</v>
      </c>
      <c r="I201" s="128">
        <v>0.17468223666851512</v>
      </c>
      <c r="J201" s="128">
        <v>22.058329072325666</v>
      </c>
      <c r="K201" s="37" t="str">
        <f t="shared" si="5"/>
        <v>Lowland|900to1200</v>
      </c>
      <c r="L201" s="128"/>
      <c r="M201" s="128"/>
      <c r="N201" s="52"/>
      <c r="O201" s="38"/>
      <c r="P201" s="133"/>
    </row>
    <row r="202" spans="2:16" x14ac:dyDescent="0.35">
      <c r="B202" s="132"/>
      <c r="C202" s="186" t="s">
        <v>221</v>
      </c>
      <c r="D202" s="186" t="s">
        <v>58</v>
      </c>
      <c r="E202" s="186" t="b">
        <v>0</v>
      </c>
      <c r="F202" s="186" t="s">
        <v>22</v>
      </c>
      <c r="G202" s="186" t="s">
        <v>10</v>
      </c>
      <c r="H202" s="48" t="str">
        <f t="shared" si="6"/>
        <v>Wye OC|Lowland|FALSE|900to1200|DrainedAr</v>
      </c>
      <c r="I202" s="128">
        <v>0.35738258058388539</v>
      </c>
      <c r="J202" s="128">
        <v>20.698360692109382</v>
      </c>
      <c r="K202" s="37" t="str">
        <f t="shared" si="5"/>
        <v>Lowland|900to1200</v>
      </c>
      <c r="L202" s="128"/>
      <c r="M202" s="128"/>
      <c r="N202" s="52"/>
      <c r="O202" s="38"/>
      <c r="P202" s="133"/>
    </row>
    <row r="203" spans="2:16" x14ac:dyDescent="0.35">
      <c r="B203" s="132"/>
      <c r="C203" s="186" t="s">
        <v>221</v>
      </c>
      <c r="D203" s="186" t="s">
        <v>58</v>
      </c>
      <c r="E203" s="186" t="b">
        <v>0</v>
      </c>
      <c r="F203" s="186" t="s">
        <v>22</v>
      </c>
      <c r="G203" s="186" t="s">
        <v>11</v>
      </c>
      <c r="H203" s="48" t="str">
        <f t="shared" si="6"/>
        <v>Wye OC|Lowland|FALSE|900to1200|DrainedArGr</v>
      </c>
      <c r="I203" s="128">
        <v>1.3813904108203756</v>
      </c>
      <c r="J203" s="128">
        <v>16.00090481825665</v>
      </c>
      <c r="K203" s="37" t="str">
        <f t="shared" si="5"/>
        <v>Lowland|900to1200</v>
      </c>
      <c r="L203" s="128"/>
      <c r="M203" s="128"/>
      <c r="N203" s="52"/>
      <c r="O203" s="38"/>
      <c r="P203" s="133"/>
    </row>
    <row r="204" spans="2:16" x14ac:dyDescent="0.35">
      <c r="B204" s="132"/>
      <c r="C204" s="186" t="s">
        <v>221</v>
      </c>
      <c r="D204" s="186" t="s">
        <v>59</v>
      </c>
      <c r="E204" s="186" t="b">
        <v>1</v>
      </c>
      <c r="F204" s="186" t="s">
        <v>8</v>
      </c>
      <c r="G204" s="186" t="s">
        <v>9</v>
      </c>
      <c r="H204" s="48" t="str">
        <f t="shared" si="6"/>
        <v>Wye OC|Mixed|TRUE|600to700|FreeDrain</v>
      </c>
      <c r="I204" s="128">
        <v>6.0518076777431255E-2</v>
      </c>
      <c r="J204" s="128">
        <v>24.972823365911847</v>
      </c>
      <c r="K204" s="37" t="str">
        <f t="shared" si="5"/>
        <v>Mixed|600to700</v>
      </c>
      <c r="L204" s="128">
        <f>AVERAGE(I204:I206)</f>
        <v>0.29139057616523478</v>
      </c>
      <c r="M204" s="128">
        <f>AVERAGE(J204:J206)</f>
        <v>20.045481759846712</v>
      </c>
      <c r="N204" s="52"/>
      <c r="O204" s="38"/>
      <c r="P204" s="133"/>
    </row>
    <row r="205" spans="2:16" x14ac:dyDescent="0.35">
      <c r="B205" s="132"/>
      <c r="C205" s="186" t="s">
        <v>221</v>
      </c>
      <c r="D205" s="186" t="s">
        <v>59</v>
      </c>
      <c r="E205" s="186" t="b">
        <v>1</v>
      </c>
      <c r="F205" s="186" t="s">
        <v>8</v>
      </c>
      <c r="G205" s="186" t="s">
        <v>10</v>
      </c>
      <c r="H205" s="48" t="str">
        <f t="shared" si="6"/>
        <v>Wye OC|Mixed|TRUE|600to700|DrainedAr</v>
      </c>
      <c r="I205" s="128">
        <v>0.22979975965512467</v>
      </c>
      <c r="J205" s="128">
        <v>17.523556643815972</v>
      </c>
      <c r="K205" s="37" t="str">
        <f t="shared" si="5"/>
        <v>Mixed|600to700</v>
      </c>
      <c r="L205" s="128"/>
      <c r="M205" s="128"/>
      <c r="N205" s="52"/>
      <c r="O205" s="38"/>
      <c r="P205" s="133"/>
    </row>
    <row r="206" spans="2:16" x14ac:dyDescent="0.35">
      <c r="B206" s="132"/>
      <c r="C206" s="186" t="s">
        <v>221</v>
      </c>
      <c r="D206" s="186" t="s">
        <v>59</v>
      </c>
      <c r="E206" s="186" t="b">
        <v>1</v>
      </c>
      <c r="F206" s="186" t="s">
        <v>8</v>
      </c>
      <c r="G206" s="186" t="s">
        <v>11</v>
      </c>
      <c r="H206" s="48" t="str">
        <f t="shared" si="6"/>
        <v>Wye OC|Mixed|TRUE|600to700|DrainedArGr</v>
      </c>
      <c r="I206" s="128">
        <v>0.58385389206314842</v>
      </c>
      <c r="J206" s="128">
        <v>17.640065269812325</v>
      </c>
      <c r="K206" s="37" t="str">
        <f t="shared" si="5"/>
        <v>Mixed|600to700</v>
      </c>
      <c r="L206" s="128"/>
      <c r="M206" s="128"/>
      <c r="N206" s="52"/>
      <c r="O206" s="38"/>
      <c r="P206" s="133"/>
    </row>
    <row r="207" spans="2:16" x14ac:dyDescent="0.35">
      <c r="B207" s="132"/>
      <c r="C207" s="186" t="s">
        <v>221</v>
      </c>
      <c r="D207" s="186" t="s">
        <v>59</v>
      </c>
      <c r="E207" s="186" t="b">
        <v>0</v>
      </c>
      <c r="F207" s="186" t="s">
        <v>12</v>
      </c>
      <c r="G207" s="186" t="s">
        <v>9</v>
      </c>
      <c r="H207" s="48" t="str">
        <f t="shared" si="6"/>
        <v>Wye OC|Mixed|FALSE|700to900|FreeDrain</v>
      </c>
      <c r="I207" s="128">
        <v>0.13456515421792697</v>
      </c>
      <c r="J207" s="128">
        <v>31.623514534240204</v>
      </c>
      <c r="K207" s="37" t="str">
        <f t="shared" si="5"/>
        <v>Mixed|700to900</v>
      </c>
      <c r="L207" s="128">
        <f>AVERAGE(I207,I209,I211)</f>
        <v>0.53022452739775172</v>
      </c>
      <c r="M207" s="128">
        <f>AVERAGE(J207,J209,J211)</f>
        <v>25.271407801951511</v>
      </c>
      <c r="N207" s="52"/>
      <c r="O207" s="38"/>
      <c r="P207" s="133"/>
    </row>
    <row r="208" spans="2:16" x14ac:dyDescent="0.35">
      <c r="B208" s="132"/>
      <c r="C208" s="186" t="s">
        <v>221</v>
      </c>
      <c r="D208" s="186" t="s">
        <v>59</v>
      </c>
      <c r="E208" s="186" t="b">
        <v>1</v>
      </c>
      <c r="F208" s="186" t="s">
        <v>12</v>
      </c>
      <c r="G208" s="186" t="s">
        <v>9</v>
      </c>
      <c r="H208" s="48" t="str">
        <f t="shared" si="6"/>
        <v>Wye OC|Mixed|TRUE|700to900|FreeDrain</v>
      </c>
      <c r="I208" s="128">
        <v>0.13427104597857459</v>
      </c>
      <c r="J208" s="128">
        <v>31.504164376779933</v>
      </c>
      <c r="K208" s="37" t="str">
        <f t="shared" si="5"/>
        <v>Mixed|700to900</v>
      </c>
      <c r="L208" s="128"/>
      <c r="M208" s="128"/>
      <c r="N208" s="52"/>
      <c r="O208" s="38"/>
      <c r="P208" s="133"/>
    </row>
    <row r="209" spans="2:16" x14ac:dyDescent="0.35">
      <c r="B209" s="132"/>
      <c r="C209" s="186" t="s">
        <v>221</v>
      </c>
      <c r="D209" s="186" t="s">
        <v>59</v>
      </c>
      <c r="E209" s="186" t="b">
        <v>0</v>
      </c>
      <c r="F209" s="186" t="s">
        <v>12</v>
      </c>
      <c r="G209" s="186" t="s">
        <v>10</v>
      </c>
      <c r="H209" s="48" t="str">
        <f t="shared" si="6"/>
        <v>Wye OC|Mixed|FALSE|700to900|DrainedAr</v>
      </c>
      <c r="I209" s="128">
        <v>0.49003152011160001</v>
      </c>
      <c r="J209" s="128">
        <v>24.05989675305209</v>
      </c>
      <c r="K209" s="37" t="str">
        <f t="shared" si="5"/>
        <v>Mixed|700to900</v>
      </c>
      <c r="L209" s="128"/>
      <c r="M209" s="128"/>
      <c r="N209" s="52"/>
      <c r="O209" s="38"/>
      <c r="P209" s="133"/>
    </row>
    <row r="210" spans="2:16" x14ac:dyDescent="0.35">
      <c r="B210" s="132"/>
      <c r="C210" s="186" t="s">
        <v>221</v>
      </c>
      <c r="D210" s="186" t="s">
        <v>59</v>
      </c>
      <c r="E210" s="186" t="b">
        <v>1</v>
      </c>
      <c r="F210" s="186" t="s">
        <v>12</v>
      </c>
      <c r="G210" s="186" t="s">
        <v>10</v>
      </c>
      <c r="H210" s="48" t="str">
        <f t="shared" si="6"/>
        <v>Wye OC|Mixed|TRUE|700to900|DrainedAr</v>
      </c>
      <c r="I210" s="128">
        <v>0.4885177629835224</v>
      </c>
      <c r="J210" s="128">
        <v>23.836288557050505</v>
      </c>
      <c r="K210" s="37" t="str">
        <f t="shared" si="5"/>
        <v>Mixed|700to900</v>
      </c>
      <c r="L210" s="128"/>
      <c r="M210" s="128"/>
      <c r="N210" s="52"/>
      <c r="O210" s="38"/>
      <c r="P210" s="133"/>
    </row>
    <row r="211" spans="2:16" x14ac:dyDescent="0.35">
      <c r="B211" s="132"/>
      <c r="C211" s="186" t="s">
        <v>221</v>
      </c>
      <c r="D211" s="186" t="s">
        <v>59</v>
      </c>
      <c r="E211" s="186" t="b">
        <v>0</v>
      </c>
      <c r="F211" s="186" t="s">
        <v>12</v>
      </c>
      <c r="G211" s="186" t="s">
        <v>11</v>
      </c>
      <c r="H211" s="48" t="str">
        <f t="shared" si="6"/>
        <v>Wye OC|Mixed|FALSE|700to900|DrainedArGr</v>
      </c>
      <c r="I211" s="128">
        <v>0.96607690786372813</v>
      </c>
      <c r="J211" s="128">
        <v>20.130812118562243</v>
      </c>
      <c r="K211" s="37" t="str">
        <f t="shared" si="5"/>
        <v>Mixed|700to900</v>
      </c>
      <c r="L211" s="128"/>
      <c r="M211" s="128"/>
      <c r="N211" s="52"/>
      <c r="O211" s="38"/>
      <c r="P211" s="133"/>
    </row>
    <row r="212" spans="2:16" x14ac:dyDescent="0.35">
      <c r="B212" s="132"/>
      <c r="C212" s="186" t="s">
        <v>221</v>
      </c>
      <c r="D212" s="186" t="s">
        <v>59</v>
      </c>
      <c r="E212" s="186" t="b">
        <v>1</v>
      </c>
      <c r="F212" s="186" t="s">
        <v>12</v>
      </c>
      <c r="G212" s="186" t="s">
        <v>11</v>
      </c>
      <c r="H212" s="48" t="str">
        <f t="shared" si="6"/>
        <v>Wye OC|Mixed|TRUE|700to900|DrainedArGr</v>
      </c>
      <c r="I212" s="128">
        <v>0.96247244668725385</v>
      </c>
      <c r="J212" s="128">
        <v>19.881849706531607</v>
      </c>
      <c r="K212" s="37" t="str">
        <f t="shared" si="5"/>
        <v>Mixed|700to900</v>
      </c>
      <c r="L212" s="128"/>
      <c r="M212" s="128"/>
      <c r="N212" s="52"/>
      <c r="O212" s="38"/>
      <c r="P212" s="133"/>
    </row>
    <row r="213" spans="2:16" x14ac:dyDescent="0.35">
      <c r="B213" s="132"/>
      <c r="C213" s="186" t="s">
        <v>221</v>
      </c>
      <c r="D213" s="186" t="s">
        <v>59</v>
      </c>
      <c r="E213" s="186" t="b">
        <v>0</v>
      </c>
      <c r="F213" s="186" t="s">
        <v>22</v>
      </c>
      <c r="G213" s="186" t="s">
        <v>9</v>
      </c>
      <c r="H213" s="48" t="str">
        <f t="shared" si="6"/>
        <v>Wye OC|Mixed|FALSE|900to1200|FreeDrain</v>
      </c>
      <c r="I213" s="128">
        <v>0.22383062806929613</v>
      </c>
      <c r="J213" s="128">
        <v>33.561126408137206</v>
      </c>
      <c r="K213" s="37" t="str">
        <f t="shared" ref="K213:K216" si="7">D213&amp;"|"&amp;F213</f>
        <v>Mixed|900to1200</v>
      </c>
      <c r="L213" s="128">
        <f>AVERAGE(I213,I215:I216)</f>
        <v>0.90445101554126595</v>
      </c>
      <c r="M213" s="128">
        <f>AVERAGE(J213,J215:J216)</f>
        <v>29.29156418933411</v>
      </c>
      <c r="N213" s="52"/>
      <c r="O213" s="38"/>
      <c r="P213" s="133"/>
    </row>
    <row r="214" spans="2:16" x14ac:dyDescent="0.35">
      <c r="B214" s="132"/>
      <c r="C214" s="186" t="s">
        <v>221</v>
      </c>
      <c r="D214" s="186" t="s">
        <v>59</v>
      </c>
      <c r="E214" s="186" t="b">
        <v>1</v>
      </c>
      <c r="F214" s="186" t="s">
        <v>22</v>
      </c>
      <c r="G214" s="186" t="s">
        <v>9</v>
      </c>
      <c r="H214" s="48" t="str">
        <f t="shared" ref="H214:H216" si="8">C214&amp;"|"&amp;D214&amp;"|"&amp;E214&amp;"|"&amp;F214&amp;"|"&amp;G214</f>
        <v>Wye OC|Mixed|TRUE|900to1200|FreeDrain</v>
      </c>
      <c r="I214" s="128">
        <v>0.22347007071977354</v>
      </c>
      <c r="J214" s="128">
        <v>33.438335172663976</v>
      </c>
      <c r="K214" s="37" t="str">
        <f t="shared" si="7"/>
        <v>Mixed|900to1200</v>
      </c>
      <c r="L214" s="128"/>
      <c r="M214" s="128"/>
      <c r="N214" s="52"/>
      <c r="O214" s="38"/>
      <c r="P214" s="133"/>
    </row>
    <row r="215" spans="2:16" x14ac:dyDescent="0.35">
      <c r="B215" s="132"/>
      <c r="C215" s="186" t="s">
        <v>221</v>
      </c>
      <c r="D215" s="186" t="s">
        <v>59</v>
      </c>
      <c r="E215" s="186" t="b">
        <v>0</v>
      </c>
      <c r="F215" s="186" t="s">
        <v>22</v>
      </c>
      <c r="G215" s="186" t="s">
        <v>10</v>
      </c>
      <c r="H215" s="48" t="str">
        <f t="shared" si="8"/>
        <v>Wye OC|Mixed|FALSE|900to1200|DrainedAr</v>
      </c>
      <c r="I215" s="128">
        <v>0.9135649555044123</v>
      </c>
      <c r="J215" s="128">
        <v>30.349620142147973</v>
      </c>
      <c r="K215" s="37" t="str">
        <f t="shared" si="7"/>
        <v>Mixed|900to1200</v>
      </c>
      <c r="L215" s="128"/>
      <c r="M215" s="128"/>
      <c r="N215" s="52"/>
      <c r="O215" s="38"/>
      <c r="P215" s="133"/>
    </row>
    <row r="216" spans="2:16" x14ac:dyDescent="0.35">
      <c r="B216" s="132"/>
      <c r="C216" s="186" t="s">
        <v>221</v>
      </c>
      <c r="D216" s="186" t="s">
        <v>59</v>
      </c>
      <c r="E216" s="186" t="b">
        <v>0</v>
      </c>
      <c r="F216" s="186" t="s">
        <v>22</v>
      </c>
      <c r="G216" s="186" t="s">
        <v>11</v>
      </c>
      <c r="H216" s="48" t="str">
        <f t="shared" si="8"/>
        <v>Wye OC|Mixed|FALSE|900to1200|DrainedArGr</v>
      </c>
      <c r="I216" s="128">
        <v>1.5759574630500897</v>
      </c>
      <c r="J216" s="128">
        <v>23.963946017717149</v>
      </c>
      <c r="K216" s="37" t="str">
        <f t="shared" si="7"/>
        <v>Mixed|900to1200</v>
      </c>
      <c r="L216" s="128"/>
      <c r="M216" s="128"/>
      <c r="N216" s="52"/>
      <c r="O216" s="38"/>
      <c r="P216" s="133"/>
    </row>
    <row r="217" spans="2:16" x14ac:dyDescent="0.35">
      <c r="B217" s="132"/>
      <c r="C217" s="186" t="s">
        <v>225</v>
      </c>
      <c r="D217" s="186" t="s">
        <v>7</v>
      </c>
      <c r="E217" s="186" t="b">
        <v>1</v>
      </c>
      <c r="F217" s="186" t="s">
        <v>8</v>
      </c>
      <c r="G217" s="186" t="s">
        <v>9</v>
      </c>
      <c r="H217" s="48" t="str">
        <f>D217&amp;"|"&amp;E217&amp;"|"&amp;F217&amp;"|"&amp;G217</f>
        <v>Cereals|TRUE|600to700|FreeDrain</v>
      </c>
      <c r="I217" s="128">
        <v>5.2791561498201418E-2</v>
      </c>
      <c r="J217" s="49">
        <v>24.899111559256323</v>
      </c>
      <c r="K217" s="28"/>
      <c r="L217" s="29"/>
      <c r="M217" s="29"/>
      <c r="N217" s="29"/>
      <c r="O217" s="29"/>
      <c r="P217" s="133"/>
    </row>
    <row r="218" spans="2:16" x14ac:dyDescent="0.35">
      <c r="B218" s="132"/>
      <c r="C218" s="186" t="s">
        <v>225</v>
      </c>
      <c r="D218" s="186" t="s">
        <v>7</v>
      </c>
      <c r="E218" s="186" t="b">
        <v>1</v>
      </c>
      <c r="F218" s="186" t="s">
        <v>8</v>
      </c>
      <c r="G218" s="186" t="s">
        <v>10</v>
      </c>
      <c r="H218" s="48" t="str">
        <f t="shared" ref="H218:H281" si="9">D218&amp;"|"&amp;E218&amp;"|"&amp;F218&amp;"|"&amp;G218</f>
        <v>Cereals|TRUE|600to700|DrainedAr</v>
      </c>
      <c r="I218" s="128">
        <v>0.2977070033586518</v>
      </c>
      <c r="J218" s="49">
        <v>18.337994867541973</v>
      </c>
      <c r="K218" s="28"/>
      <c r="L218" s="29"/>
      <c r="M218" s="29"/>
      <c r="N218" s="29"/>
      <c r="O218" s="29"/>
      <c r="P218" s="133"/>
    </row>
    <row r="219" spans="2:16" x14ac:dyDescent="0.35">
      <c r="B219" s="132"/>
      <c r="C219" s="186" t="s">
        <v>225</v>
      </c>
      <c r="D219" s="186" t="s">
        <v>7</v>
      </c>
      <c r="E219" s="186" t="b">
        <v>1</v>
      </c>
      <c r="F219" s="186" t="s">
        <v>8</v>
      </c>
      <c r="G219" s="186" t="s">
        <v>11</v>
      </c>
      <c r="H219" s="48" t="str">
        <f t="shared" si="9"/>
        <v>Cereals|TRUE|600to700|DrainedArGr</v>
      </c>
      <c r="I219" s="128">
        <v>0.50641189979108803</v>
      </c>
      <c r="J219" s="49">
        <v>19.666656206457429</v>
      </c>
      <c r="K219" s="28"/>
      <c r="L219" s="29"/>
      <c r="M219" s="29"/>
      <c r="N219" s="29"/>
      <c r="O219" s="29"/>
      <c r="P219" s="133"/>
    </row>
    <row r="220" spans="2:16" x14ac:dyDescent="0.35">
      <c r="B220" s="132"/>
      <c r="C220" s="186" t="s">
        <v>225</v>
      </c>
      <c r="D220" s="186" t="s">
        <v>7</v>
      </c>
      <c r="E220" s="186" t="b">
        <v>0</v>
      </c>
      <c r="F220" s="186" t="s">
        <v>12</v>
      </c>
      <c r="G220" s="186" t="s">
        <v>9</v>
      </c>
      <c r="H220" s="48" t="str">
        <f t="shared" si="9"/>
        <v>Cereals|FALSE|700to900|FreeDrain</v>
      </c>
      <c r="I220" s="128">
        <v>0.14442017224146569</v>
      </c>
      <c r="J220" s="49">
        <v>29.981636591089686</v>
      </c>
      <c r="K220" s="28"/>
      <c r="L220" s="29"/>
      <c r="M220" s="29"/>
      <c r="N220" s="29"/>
      <c r="O220" s="29"/>
      <c r="P220" s="133"/>
    </row>
    <row r="221" spans="2:16" x14ac:dyDescent="0.35">
      <c r="B221" s="132"/>
      <c r="C221" s="186" t="s">
        <v>225</v>
      </c>
      <c r="D221" s="186" t="s">
        <v>7</v>
      </c>
      <c r="E221" s="186" t="b">
        <v>1</v>
      </c>
      <c r="F221" s="186" t="s">
        <v>12</v>
      </c>
      <c r="G221" s="186" t="s">
        <v>9</v>
      </c>
      <c r="H221" s="48" t="str">
        <f t="shared" si="9"/>
        <v>Cereals|TRUE|700to900|FreeDrain</v>
      </c>
      <c r="I221" s="128">
        <v>0.14441095485562394</v>
      </c>
      <c r="J221" s="49">
        <v>29.884019370701409</v>
      </c>
      <c r="K221" s="28"/>
      <c r="L221" s="29"/>
      <c r="M221" s="29"/>
      <c r="N221" s="29"/>
      <c r="O221" s="29"/>
      <c r="P221" s="133"/>
    </row>
    <row r="222" spans="2:16" x14ac:dyDescent="0.35">
      <c r="B222" s="132"/>
      <c r="C222" s="186" t="s">
        <v>225</v>
      </c>
      <c r="D222" s="186" t="s">
        <v>7</v>
      </c>
      <c r="E222" s="186" t="b">
        <v>0</v>
      </c>
      <c r="F222" s="186" t="s">
        <v>12</v>
      </c>
      <c r="G222" s="186" t="s">
        <v>10</v>
      </c>
      <c r="H222" s="48" t="str">
        <f t="shared" si="9"/>
        <v>Cereals|FALSE|700to900|DrainedAr</v>
      </c>
      <c r="I222" s="128">
        <v>0.64479488740774404</v>
      </c>
      <c r="J222" s="49">
        <v>23.094872383577883</v>
      </c>
      <c r="K222" s="28"/>
      <c r="L222" s="29"/>
      <c r="M222" s="29"/>
      <c r="N222" s="29"/>
      <c r="O222" s="29"/>
      <c r="P222" s="133"/>
    </row>
    <row r="223" spans="2:16" x14ac:dyDescent="0.35">
      <c r="B223" s="132"/>
      <c r="C223" s="186" t="s">
        <v>225</v>
      </c>
      <c r="D223" s="186" t="s">
        <v>7</v>
      </c>
      <c r="E223" s="186" t="b">
        <v>1</v>
      </c>
      <c r="F223" s="186" t="s">
        <v>12</v>
      </c>
      <c r="G223" s="186" t="s">
        <v>10</v>
      </c>
      <c r="H223" s="48" t="str">
        <f t="shared" si="9"/>
        <v>Cereals|TRUE|700to900|DrainedAr</v>
      </c>
      <c r="I223" s="128">
        <v>0.64475231694750423</v>
      </c>
      <c r="J223" s="49">
        <v>23.02683018519232</v>
      </c>
      <c r="K223" s="28"/>
      <c r="L223" s="29"/>
      <c r="M223" s="29"/>
      <c r="N223" s="29"/>
      <c r="O223" s="29"/>
      <c r="P223" s="133"/>
    </row>
    <row r="224" spans="2:16" x14ac:dyDescent="0.35">
      <c r="B224" s="132"/>
      <c r="C224" s="186" t="s">
        <v>225</v>
      </c>
      <c r="D224" s="186" t="s">
        <v>7</v>
      </c>
      <c r="E224" s="186" t="b">
        <v>0</v>
      </c>
      <c r="F224" s="186" t="s">
        <v>12</v>
      </c>
      <c r="G224" s="186" t="s">
        <v>11</v>
      </c>
      <c r="H224" s="48" t="str">
        <f t="shared" si="9"/>
        <v>Cereals|FALSE|700to900|DrainedArGr</v>
      </c>
      <c r="I224" s="128">
        <v>0.89671147288968256</v>
      </c>
      <c r="J224" s="49">
        <v>21.726526792377211</v>
      </c>
      <c r="K224" s="28"/>
      <c r="L224" s="29"/>
      <c r="M224" s="29"/>
      <c r="N224" s="29"/>
      <c r="O224" s="29"/>
      <c r="P224" s="133"/>
    </row>
    <row r="225" spans="2:16" x14ac:dyDescent="0.35">
      <c r="B225" s="132"/>
      <c r="C225" s="186" t="s">
        <v>225</v>
      </c>
      <c r="D225" s="186" t="s">
        <v>7</v>
      </c>
      <c r="E225" s="186" t="b">
        <v>1</v>
      </c>
      <c r="F225" s="186" t="s">
        <v>12</v>
      </c>
      <c r="G225" s="186" t="s">
        <v>11</v>
      </c>
      <c r="H225" s="48" t="str">
        <f t="shared" si="9"/>
        <v>Cereals|TRUE|700to900|DrainedArGr</v>
      </c>
      <c r="I225" s="128">
        <v>0.89660794864776694</v>
      </c>
      <c r="J225" s="49">
        <v>21.670433816284472</v>
      </c>
      <c r="K225" s="28"/>
      <c r="L225" s="29"/>
      <c r="M225" s="29"/>
      <c r="N225" s="29"/>
      <c r="O225" s="29"/>
      <c r="P225" s="133"/>
    </row>
    <row r="226" spans="2:16" x14ac:dyDescent="0.35">
      <c r="B226" s="132"/>
      <c r="C226" s="186" t="s">
        <v>225</v>
      </c>
      <c r="D226" s="186" t="s">
        <v>7</v>
      </c>
      <c r="E226" s="186" t="b">
        <v>0</v>
      </c>
      <c r="F226" s="186" t="s">
        <v>22</v>
      </c>
      <c r="G226" s="186" t="s">
        <v>9</v>
      </c>
      <c r="H226" s="48" t="str">
        <f t="shared" si="9"/>
        <v>Cereals|FALSE|900to1200|FreeDrain</v>
      </c>
      <c r="I226" s="128">
        <v>0.25051427740909443</v>
      </c>
      <c r="J226" s="49">
        <v>31.853148796930412</v>
      </c>
      <c r="K226" s="28"/>
      <c r="L226" s="29"/>
      <c r="M226" s="29"/>
      <c r="N226" s="29"/>
      <c r="O226" s="29"/>
      <c r="P226" s="133"/>
    </row>
    <row r="227" spans="2:16" x14ac:dyDescent="0.35">
      <c r="B227" s="132"/>
      <c r="C227" s="186" t="s">
        <v>225</v>
      </c>
      <c r="D227" s="186" t="s">
        <v>7</v>
      </c>
      <c r="E227" s="186" t="b">
        <v>1</v>
      </c>
      <c r="F227" s="186" t="s">
        <v>22</v>
      </c>
      <c r="G227" s="186" t="s">
        <v>9</v>
      </c>
      <c r="H227" s="48" t="str">
        <f t="shared" si="9"/>
        <v>Cereals|TRUE|900to1200|FreeDrain</v>
      </c>
      <c r="I227" s="128">
        <v>0.25050286565712021</v>
      </c>
      <c r="J227" s="49">
        <v>31.750581825160133</v>
      </c>
      <c r="K227" s="28"/>
      <c r="L227" s="29"/>
      <c r="M227" s="29"/>
      <c r="N227" s="29"/>
      <c r="O227" s="29"/>
      <c r="P227" s="133"/>
    </row>
    <row r="228" spans="2:16" x14ac:dyDescent="0.35">
      <c r="B228" s="132"/>
      <c r="C228" s="186" t="s">
        <v>225</v>
      </c>
      <c r="D228" s="186" t="s">
        <v>7</v>
      </c>
      <c r="E228" s="186" t="b">
        <v>0</v>
      </c>
      <c r="F228" s="186" t="s">
        <v>22</v>
      </c>
      <c r="G228" s="186" t="s">
        <v>10</v>
      </c>
      <c r="H228" s="48" t="str">
        <f t="shared" si="9"/>
        <v>Cereals|FALSE|900to1200|DrainedAr</v>
      </c>
      <c r="I228" s="128">
        <v>1.2185460843402012</v>
      </c>
      <c r="J228" s="49">
        <v>29.571103197079477</v>
      </c>
      <c r="K228" s="28"/>
      <c r="L228" s="29"/>
      <c r="M228" s="29"/>
      <c r="N228" s="29"/>
      <c r="O228" s="29"/>
      <c r="P228" s="133"/>
    </row>
    <row r="229" spans="2:16" x14ac:dyDescent="0.35">
      <c r="B229" s="132"/>
      <c r="C229" s="186" t="s">
        <v>225</v>
      </c>
      <c r="D229" s="186" t="s">
        <v>7</v>
      </c>
      <c r="E229" s="186" t="b">
        <v>1</v>
      </c>
      <c r="F229" s="186" t="s">
        <v>22</v>
      </c>
      <c r="G229" s="186" t="s">
        <v>10</v>
      </c>
      <c r="H229" s="48" t="str">
        <f t="shared" si="9"/>
        <v>Cereals|TRUE|900to1200|DrainedAr</v>
      </c>
      <c r="I229" s="128">
        <v>1.2184763316719143</v>
      </c>
      <c r="J229" s="49">
        <v>29.488597874875062</v>
      </c>
      <c r="K229" s="28"/>
      <c r="L229" s="29"/>
      <c r="M229" s="29"/>
      <c r="N229" s="29"/>
      <c r="O229" s="29"/>
      <c r="P229" s="133"/>
    </row>
    <row r="230" spans="2:16" x14ac:dyDescent="0.35">
      <c r="B230" s="132"/>
      <c r="C230" s="186" t="s">
        <v>225</v>
      </c>
      <c r="D230" s="186" t="s">
        <v>7</v>
      </c>
      <c r="E230" s="186" t="b">
        <v>0</v>
      </c>
      <c r="F230" s="186" t="s">
        <v>22</v>
      </c>
      <c r="G230" s="186" t="s">
        <v>11</v>
      </c>
      <c r="H230" s="48" t="str">
        <f t="shared" si="9"/>
        <v>Cereals|FALSE|900to1200|DrainedArGr</v>
      </c>
      <c r="I230" s="128">
        <v>1.4733623454799352</v>
      </c>
      <c r="J230" s="49">
        <v>25.119072049309697</v>
      </c>
      <c r="K230" s="28"/>
      <c r="L230" s="29"/>
      <c r="M230" s="29"/>
      <c r="N230" s="29"/>
      <c r="O230" s="29"/>
      <c r="P230" s="133"/>
    </row>
    <row r="231" spans="2:16" x14ac:dyDescent="0.35">
      <c r="B231" s="132"/>
      <c r="C231" s="186" t="s">
        <v>225</v>
      </c>
      <c r="D231" s="186" t="s">
        <v>25</v>
      </c>
      <c r="E231" s="186" t="b">
        <v>1</v>
      </c>
      <c r="F231" s="186" t="s">
        <v>8</v>
      </c>
      <c r="G231" s="186" t="s">
        <v>9</v>
      </c>
      <c r="H231" s="48" t="str">
        <f t="shared" si="9"/>
        <v>General|TRUE|600to700|FreeDrain</v>
      </c>
      <c r="I231" s="128">
        <v>4.5334685307154607E-2</v>
      </c>
      <c r="J231" s="49">
        <v>23.934113189453587</v>
      </c>
      <c r="K231" s="28"/>
      <c r="L231" s="29"/>
      <c r="M231" s="29"/>
      <c r="N231" s="29"/>
      <c r="O231" s="29"/>
      <c r="P231" s="133"/>
    </row>
    <row r="232" spans="2:16" x14ac:dyDescent="0.35">
      <c r="B232" s="132"/>
      <c r="C232" s="186" t="s">
        <v>225</v>
      </c>
      <c r="D232" s="186" t="s">
        <v>25</v>
      </c>
      <c r="E232" s="186" t="b">
        <v>1</v>
      </c>
      <c r="F232" s="186" t="s">
        <v>8</v>
      </c>
      <c r="G232" s="186" t="s">
        <v>10</v>
      </c>
      <c r="H232" s="48" t="str">
        <f t="shared" si="9"/>
        <v>General|TRUE|600to700|DrainedAr</v>
      </c>
      <c r="I232" s="128">
        <v>0.24437261008214894</v>
      </c>
      <c r="J232" s="49">
        <v>16.73901466340326</v>
      </c>
      <c r="K232" s="28"/>
      <c r="L232" s="29"/>
      <c r="M232" s="29"/>
      <c r="N232" s="29"/>
      <c r="O232" s="29"/>
      <c r="P232" s="133"/>
    </row>
    <row r="233" spans="2:16" x14ac:dyDescent="0.35">
      <c r="B233" s="132"/>
      <c r="C233" s="186" t="s">
        <v>225</v>
      </c>
      <c r="D233" s="186" t="s">
        <v>25</v>
      </c>
      <c r="E233" s="186" t="b">
        <v>1</v>
      </c>
      <c r="F233" s="186" t="s">
        <v>8</v>
      </c>
      <c r="G233" s="186" t="s">
        <v>11</v>
      </c>
      <c r="H233" s="48" t="str">
        <f t="shared" si="9"/>
        <v>General|TRUE|600to700|DrainedArGr</v>
      </c>
      <c r="I233" s="128">
        <v>0.44760661475516528</v>
      </c>
      <c r="J233" s="49">
        <v>17.296712901004629</v>
      </c>
      <c r="K233" s="28"/>
      <c r="L233" s="29"/>
      <c r="M233" s="29"/>
      <c r="N233" s="29"/>
      <c r="O233" s="29"/>
      <c r="P233" s="133"/>
    </row>
    <row r="234" spans="2:16" x14ac:dyDescent="0.35">
      <c r="B234" s="132"/>
      <c r="C234" s="186" t="s">
        <v>225</v>
      </c>
      <c r="D234" s="186" t="s">
        <v>25</v>
      </c>
      <c r="E234" s="186" t="b">
        <v>0</v>
      </c>
      <c r="F234" s="186" t="s">
        <v>12</v>
      </c>
      <c r="G234" s="186" t="s">
        <v>9</v>
      </c>
      <c r="H234" s="48" t="str">
        <f t="shared" si="9"/>
        <v>General|FALSE|700to900|FreeDrain</v>
      </c>
      <c r="I234" s="128">
        <v>0.12080411791523024</v>
      </c>
      <c r="J234" s="49">
        <v>28.614986327142471</v>
      </c>
      <c r="K234" s="28"/>
      <c r="L234" s="29"/>
      <c r="M234" s="29"/>
      <c r="N234" s="29"/>
      <c r="O234" s="29"/>
      <c r="P234" s="133"/>
    </row>
    <row r="235" spans="2:16" x14ac:dyDescent="0.35">
      <c r="B235" s="132"/>
      <c r="C235" s="186" t="s">
        <v>225</v>
      </c>
      <c r="D235" s="186" t="s">
        <v>25</v>
      </c>
      <c r="E235" s="186" t="b">
        <v>1</v>
      </c>
      <c r="F235" s="186" t="s">
        <v>12</v>
      </c>
      <c r="G235" s="186" t="s">
        <v>9</v>
      </c>
      <c r="H235" s="48" t="str">
        <f t="shared" si="9"/>
        <v>General|TRUE|700to900|FreeDrain</v>
      </c>
      <c r="I235" s="128">
        <v>0.12080411791523024</v>
      </c>
      <c r="J235" s="49">
        <v>28.532997174275483</v>
      </c>
      <c r="K235" s="28"/>
      <c r="L235" s="29"/>
      <c r="M235" s="29"/>
      <c r="N235" s="29"/>
      <c r="O235" s="29"/>
      <c r="P235" s="133"/>
    </row>
    <row r="236" spans="2:16" x14ac:dyDescent="0.35">
      <c r="B236" s="132"/>
      <c r="C236" s="186" t="s">
        <v>225</v>
      </c>
      <c r="D236" s="186" t="s">
        <v>25</v>
      </c>
      <c r="E236" s="186" t="b">
        <v>0</v>
      </c>
      <c r="F236" s="186" t="s">
        <v>12</v>
      </c>
      <c r="G236" s="186" t="s">
        <v>10</v>
      </c>
      <c r="H236" s="48" t="str">
        <f t="shared" si="9"/>
        <v>General|FALSE|700to900|DrainedAr</v>
      </c>
      <c r="I236" s="128">
        <v>0.50827807696675242</v>
      </c>
      <c r="J236" s="49">
        <v>20.862003686616152</v>
      </c>
      <c r="K236" s="28"/>
      <c r="L236" s="29"/>
      <c r="M236" s="29"/>
      <c r="N236" s="29"/>
      <c r="O236" s="29"/>
      <c r="P236" s="133"/>
    </row>
    <row r="237" spans="2:16" x14ac:dyDescent="0.35">
      <c r="B237" s="132"/>
      <c r="C237" s="186" t="s">
        <v>225</v>
      </c>
      <c r="D237" s="186" t="s">
        <v>25</v>
      </c>
      <c r="E237" s="186" t="b">
        <v>1</v>
      </c>
      <c r="F237" s="186" t="s">
        <v>12</v>
      </c>
      <c r="G237" s="186" t="s">
        <v>10</v>
      </c>
      <c r="H237" s="48" t="str">
        <f t="shared" si="9"/>
        <v>General|TRUE|700to900|DrainedAr</v>
      </c>
      <c r="I237" s="128">
        <v>0.50827807696675242</v>
      </c>
      <c r="J237" s="49">
        <v>20.807882370166354</v>
      </c>
      <c r="K237" s="28"/>
      <c r="L237" s="29"/>
      <c r="M237" s="29"/>
      <c r="N237" s="29"/>
      <c r="O237" s="29"/>
      <c r="P237" s="133"/>
    </row>
    <row r="238" spans="2:16" x14ac:dyDescent="0.35">
      <c r="B238" s="132"/>
      <c r="C238" s="186" t="s">
        <v>225</v>
      </c>
      <c r="D238" s="186" t="s">
        <v>25</v>
      </c>
      <c r="E238" s="186" t="b">
        <v>0</v>
      </c>
      <c r="F238" s="186" t="s">
        <v>12</v>
      </c>
      <c r="G238" s="186" t="s">
        <v>11</v>
      </c>
      <c r="H238" s="48" t="str">
        <f t="shared" si="9"/>
        <v>General|FALSE|700to900|DrainedArGr</v>
      </c>
      <c r="I238" s="128">
        <v>0.77061060733176356</v>
      </c>
      <c r="J238" s="49">
        <v>18.667041256152391</v>
      </c>
      <c r="K238" s="28"/>
      <c r="L238" s="29"/>
      <c r="M238" s="29"/>
      <c r="N238" s="29"/>
      <c r="O238" s="29"/>
      <c r="P238" s="133"/>
    </row>
    <row r="239" spans="2:16" x14ac:dyDescent="0.35">
      <c r="B239" s="132"/>
      <c r="C239" s="186" t="s">
        <v>225</v>
      </c>
      <c r="D239" s="186" t="s">
        <v>25</v>
      </c>
      <c r="E239" s="186" t="b">
        <v>1</v>
      </c>
      <c r="F239" s="186" t="s">
        <v>12</v>
      </c>
      <c r="G239" s="186" t="s">
        <v>11</v>
      </c>
      <c r="H239" s="48" t="str">
        <f t="shared" si="9"/>
        <v>General|TRUE|700to900|DrainedArGr</v>
      </c>
      <c r="I239" s="128">
        <v>0.77061060733176356</v>
      </c>
      <c r="J239" s="49">
        <v>18.623770397155646</v>
      </c>
      <c r="K239" s="28"/>
      <c r="L239" s="29"/>
      <c r="M239" s="29"/>
      <c r="N239" s="29"/>
      <c r="O239" s="29"/>
      <c r="P239" s="133"/>
    </row>
    <row r="240" spans="2:16" x14ac:dyDescent="0.35">
      <c r="B240" s="132"/>
      <c r="C240" s="186" t="s">
        <v>225</v>
      </c>
      <c r="D240" s="186" t="s">
        <v>25</v>
      </c>
      <c r="E240" s="186" t="b">
        <v>0</v>
      </c>
      <c r="F240" s="186" t="s">
        <v>22</v>
      </c>
      <c r="G240" s="186" t="s">
        <v>9</v>
      </c>
      <c r="H240" s="48" t="str">
        <f t="shared" si="9"/>
        <v>General|FALSE|900to1200|FreeDrain</v>
      </c>
      <c r="I240" s="128">
        <v>0.21641445398896098</v>
      </c>
      <c r="J240" s="49">
        <v>30.403270064418592</v>
      </c>
      <c r="K240" s="28"/>
      <c r="L240" s="29"/>
      <c r="M240" s="29"/>
      <c r="N240" s="29"/>
      <c r="O240" s="29"/>
      <c r="P240" s="133"/>
    </row>
    <row r="241" spans="2:16" x14ac:dyDescent="0.35">
      <c r="B241" s="132"/>
      <c r="C241" s="186" t="s">
        <v>225</v>
      </c>
      <c r="D241" s="186" t="s">
        <v>25</v>
      </c>
      <c r="E241" s="186" t="b">
        <v>1</v>
      </c>
      <c r="F241" s="186" t="s">
        <v>22</v>
      </c>
      <c r="G241" s="186" t="s">
        <v>9</v>
      </c>
      <c r="H241" s="48" t="str">
        <f t="shared" si="9"/>
        <v>General|TRUE|900to1200|FreeDrain</v>
      </c>
      <c r="I241" s="128">
        <v>0.21641445398896098</v>
      </c>
      <c r="J241" s="49">
        <v>30.316934930235767</v>
      </c>
      <c r="K241" s="28"/>
      <c r="L241" s="29"/>
      <c r="M241" s="29"/>
      <c r="N241" s="29"/>
      <c r="O241" s="29"/>
      <c r="P241" s="133"/>
    </row>
    <row r="242" spans="2:16" x14ac:dyDescent="0.35">
      <c r="B242" s="132"/>
      <c r="C242" s="186" t="s">
        <v>225</v>
      </c>
      <c r="D242" s="186" t="s">
        <v>25</v>
      </c>
      <c r="E242" s="186" t="b">
        <v>0</v>
      </c>
      <c r="F242" s="186" t="s">
        <v>22</v>
      </c>
      <c r="G242" s="186" t="s">
        <v>10</v>
      </c>
      <c r="H242" s="48" t="str">
        <f t="shared" si="9"/>
        <v>General|FALSE|900to1200|DrainedAr</v>
      </c>
      <c r="I242" s="128">
        <v>0.95292433370812724</v>
      </c>
      <c r="J242" s="49">
        <v>26.140102539984277</v>
      </c>
      <c r="K242" s="28"/>
      <c r="L242" s="29"/>
      <c r="M242" s="29"/>
      <c r="N242" s="29"/>
      <c r="O242" s="29"/>
      <c r="P242" s="133"/>
    </row>
    <row r="243" spans="2:16" x14ac:dyDescent="0.35">
      <c r="B243" s="132"/>
      <c r="C243" s="186" t="s">
        <v>225</v>
      </c>
      <c r="D243" s="186" t="s">
        <v>25</v>
      </c>
      <c r="E243" s="186" t="b">
        <v>1</v>
      </c>
      <c r="F243" s="186" t="s">
        <v>22</v>
      </c>
      <c r="G243" s="186" t="s">
        <v>10</v>
      </c>
      <c r="H243" s="48" t="str">
        <f t="shared" si="9"/>
        <v>General|TRUE|900to1200|DrainedAr</v>
      </c>
      <c r="I243" s="128">
        <v>0.95292433370812724</v>
      </c>
      <c r="J243" s="49">
        <v>26.074985729272107</v>
      </c>
      <c r="K243" s="28"/>
      <c r="L243" s="29"/>
      <c r="M243" s="29"/>
      <c r="N243" s="29"/>
      <c r="O243" s="29"/>
      <c r="P243" s="133"/>
    </row>
    <row r="244" spans="2:16" x14ac:dyDescent="0.35">
      <c r="B244" s="132"/>
      <c r="C244" s="186" t="s">
        <v>225</v>
      </c>
      <c r="D244" s="186" t="s">
        <v>25</v>
      </c>
      <c r="E244" s="186" t="b">
        <v>0</v>
      </c>
      <c r="F244" s="186" t="s">
        <v>22</v>
      </c>
      <c r="G244" s="186" t="s">
        <v>11</v>
      </c>
      <c r="H244" s="48" t="str">
        <f t="shared" si="9"/>
        <v>General|FALSE|900to1200|DrainedArGr</v>
      </c>
      <c r="I244" s="128">
        <v>1.2683278813597649</v>
      </c>
      <c r="J244" s="49">
        <v>20.993259629598136</v>
      </c>
      <c r="K244" s="28"/>
      <c r="L244" s="29"/>
      <c r="M244" s="29"/>
      <c r="N244" s="29"/>
      <c r="O244" s="29"/>
      <c r="P244" s="133"/>
    </row>
    <row r="245" spans="2:16" x14ac:dyDescent="0.35">
      <c r="B245" s="132"/>
      <c r="C245" s="186" t="s">
        <v>225</v>
      </c>
      <c r="D245" s="186" t="s">
        <v>25</v>
      </c>
      <c r="E245" s="186" t="b">
        <v>0</v>
      </c>
      <c r="F245" s="186" t="s">
        <v>27</v>
      </c>
      <c r="G245" s="186" t="s">
        <v>9</v>
      </c>
      <c r="H245" s="48" t="str">
        <f t="shared" si="9"/>
        <v>General|FALSE|1200to1500|FreeDrain</v>
      </c>
      <c r="I245" s="128">
        <v>0.32587470282788211</v>
      </c>
      <c r="J245" s="49">
        <v>30.799672517197937</v>
      </c>
      <c r="K245" s="28"/>
      <c r="L245" s="29"/>
      <c r="M245" s="29"/>
      <c r="N245" s="29"/>
      <c r="O245" s="29"/>
      <c r="P245" s="133"/>
    </row>
    <row r="246" spans="2:16" x14ac:dyDescent="0.35">
      <c r="B246" s="132"/>
      <c r="C246" s="186" t="s">
        <v>225</v>
      </c>
      <c r="D246" s="186" t="s">
        <v>25</v>
      </c>
      <c r="E246" s="186" t="b">
        <v>0</v>
      </c>
      <c r="F246" s="186" t="s">
        <v>27</v>
      </c>
      <c r="G246" s="186" t="s">
        <v>10</v>
      </c>
      <c r="H246" s="48" t="str">
        <f t="shared" si="9"/>
        <v>General|FALSE|1200to1500|DrainedAr</v>
      </c>
      <c r="I246" s="128">
        <v>1.5500947585478166</v>
      </c>
      <c r="J246" s="49">
        <v>31.413300100859271</v>
      </c>
      <c r="K246" s="28"/>
      <c r="L246" s="29"/>
      <c r="M246" s="29"/>
      <c r="N246" s="29"/>
      <c r="O246" s="29"/>
      <c r="P246" s="133"/>
    </row>
    <row r="247" spans="2:16" x14ac:dyDescent="0.35">
      <c r="B247" s="132"/>
      <c r="C247" s="186" t="s">
        <v>225</v>
      </c>
      <c r="D247" s="186" t="s">
        <v>32</v>
      </c>
      <c r="E247" s="186" t="b">
        <v>1</v>
      </c>
      <c r="F247" s="186" t="s">
        <v>8</v>
      </c>
      <c r="G247" s="186" t="s">
        <v>9</v>
      </c>
      <c r="H247" s="48" t="str">
        <f t="shared" si="9"/>
        <v>Horticulture|TRUE|600to700|FreeDrain</v>
      </c>
      <c r="I247" s="128">
        <v>2.9254694181757416E-2</v>
      </c>
      <c r="J247" s="49">
        <v>13.757292598249835</v>
      </c>
      <c r="K247" s="28"/>
      <c r="L247" s="29"/>
      <c r="M247" s="29"/>
      <c r="N247" s="29"/>
      <c r="O247" s="29"/>
      <c r="P247" s="133"/>
    </row>
    <row r="248" spans="2:16" x14ac:dyDescent="0.35">
      <c r="B248" s="132"/>
      <c r="C248" s="186" t="s">
        <v>225</v>
      </c>
      <c r="D248" s="186" t="s">
        <v>32</v>
      </c>
      <c r="E248" s="186" t="b">
        <v>1</v>
      </c>
      <c r="F248" s="186" t="s">
        <v>8</v>
      </c>
      <c r="G248" s="186" t="s">
        <v>10</v>
      </c>
      <c r="H248" s="48" t="str">
        <f t="shared" si="9"/>
        <v>Horticulture|TRUE|600to700|DrainedAr</v>
      </c>
      <c r="I248" s="128">
        <v>0.17392808545226457</v>
      </c>
      <c r="J248" s="49">
        <v>9.5213098330386714</v>
      </c>
      <c r="K248" s="28"/>
      <c r="L248" s="29"/>
      <c r="M248" s="29"/>
      <c r="N248" s="29"/>
      <c r="O248" s="29"/>
      <c r="P248" s="133"/>
    </row>
    <row r="249" spans="2:16" x14ac:dyDescent="0.35">
      <c r="B249" s="132"/>
      <c r="C249" s="186" t="s">
        <v>225</v>
      </c>
      <c r="D249" s="186" t="s">
        <v>32</v>
      </c>
      <c r="E249" s="186" t="b">
        <v>1</v>
      </c>
      <c r="F249" s="186" t="s">
        <v>8</v>
      </c>
      <c r="G249" s="186" t="s">
        <v>11</v>
      </c>
      <c r="H249" s="48" t="str">
        <f t="shared" si="9"/>
        <v>Horticulture|TRUE|600to700|DrainedArGr</v>
      </c>
      <c r="I249" s="128">
        <v>0.30473136314709037</v>
      </c>
      <c r="J249" s="49">
        <v>9.738783019801815</v>
      </c>
      <c r="K249" s="28"/>
      <c r="L249" s="29"/>
      <c r="M249" s="29"/>
      <c r="N249" s="29"/>
      <c r="O249" s="29"/>
      <c r="P249" s="133"/>
    </row>
    <row r="250" spans="2:16" x14ac:dyDescent="0.35">
      <c r="B250" s="132"/>
      <c r="C250" s="186" t="s">
        <v>225</v>
      </c>
      <c r="D250" s="186" t="s">
        <v>32</v>
      </c>
      <c r="E250" s="186" t="b">
        <v>0</v>
      </c>
      <c r="F250" s="186" t="s">
        <v>12</v>
      </c>
      <c r="G250" s="186" t="s">
        <v>9</v>
      </c>
      <c r="H250" s="48" t="str">
        <f t="shared" si="9"/>
        <v>Horticulture|FALSE|700to900|FreeDrain</v>
      </c>
      <c r="I250" s="128">
        <v>8.2576172109286999E-2</v>
      </c>
      <c r="J250" s="49">
        <v>16.592008806586197</v>
      </c>
      <c r="K250" s="28"/>
      <c r="L250" s="29"/>
      <c r="M250" s="29"/>
      <c r="N250" s="29"/>
      <c r="O250" s="29"/>
      <c r="P250" s="133"/>
    </row>
    <row r="251" spans="2:16" x14ac:dyDescent="0.35">
      <c r="B251" s="132"/>
      <c r="C251" s="186" t="s">
        <v>225</v>
      </c>
      <c r="D251" s="186" t="s">
        <v>32</v>
      </c>
      <c r="E251" s="186" t="b">
        <v>1</v>
      </c>
      <c r="F251" s="186" t="s">
        <v>12</v>
      </c>
      <c r="G251" s="186" t="s">
        <v>9</v>
      </c>
      <c r="H251" s="48" t="str">
        <f t="shared" si="9"/>
        <v>Horticulture|TRUE|700to900|FreeDrain</v>
      </c>
      <c r="I251" s="128">
        <v>8.2576172109286999E-2</v>
      </c>
      <c r="J251" s="49">
        <v>16.54751831587069</v>
      </c>
      <c r="K251" s="28"/>
      <c r="L251" s="29"/>
      <c r="M251" s="29"/>
      <c r="N251" s="29"/>
      <c r="O251" s="29"/>
      <c r="P251" s="133"/>
    </row>
    <row r="252" spans="2:16" x14ac:dyDescent="0.35">
      <c r="B252" s="132"/>
      <c r="C252" s="186" t="s">
        <v>225</v>
      </c>
      <c r="D252" s="186" t="s">
        <v>32</v>
      </c>
      <c r="E252" s="186" t="b">
        <v>0</v>
      </c>
      <c r="F252" s="186" t="s">
        <v>12</v>
      </c>
      <c r="G252" s="186" t="s">
        <v>10</v>
      </c>
      <c r="H252" s="48" t="str">
        <f t="shared" si="9"/>
        <v>Horticulture|FALSE|700to900|DrainedAr</v>
      </c>
      <c r="I252" s="128">
        <v>0.36933024927400165</v>
      </c>
      <c r="J252" s="49">
        <v>11.968173447339023</v>
      </c>
      <c r="K252" s="28"/>
      <c r="L252" s="29"/>
      <c r="M252" s="29"/>
      <c r="N252" s="29"/>
      <c r="O252" s="29"/>
      <c r="P252" s="133"/>
    </row>
    <row r="253" spans="2:16" x14ac:dyDescent="0.35">
      <c r="B253" s="132"/>
      <c r="C253" s="186" t="s">
        <v>225</v>
      </c>
      <c r="D253" s="186" t="s">
        <v>32</v>
      </c>
      <c r="E253" s="186" t="b">
        <v>1</v>
      </c>
      <c r="F253" s="186" t="s">
        <v>12</v>
      </c>
      <c r="G253" s="186" t="s">
        <v>10</v>
      </c>
      <c r="H253" s="48" t="str">
        <f t="shared" si="9"/>
        <v>Horticulture|TRUE|700to900|DrainedAr</v>
      </c>
      <c r="I253" s="128">
        <v>0.36933024927400165</v>
      </c>
      <c r="J253" s="49">
        <v>11.938712671740253</v>
      </c>
      <c r="K253" s="28"/>
      <c r="L253" s="29"/>
      <c r="M253" s="29"/>
      <c r="N253" s="29"/>
      <c r="O253" s="29"/>
      <c r="P253" s="133"/>
    </row>
    <row r="254" spans="2:16" x14ac:dyDescent="0.35">
      <c r="B254" s="132"/>
      <c r="C254" s="186" t="s">
        <v>225</v>
      </c>
      <c r="D254" s="186" t="s">
        <v>32</v>
      </c>
      <c r="E254" s="186" t="b">
        <v>0</v>
      </c>
      <c r="F254" s="186" t="s">
        <v>12</v>
      </c>
      <c r="G254" s="186" t="s">
        <v>11</v>
      </c>
      <c r="H254" s="48" t="str">
        <f t="shared" si="9"/>
        <v>Horticulture|FALSE|700to900|DrainedArGr</v>
      </c>
      <c r="I254" s="128">
        <v>0.53179266388476387</v>
      </c>
      <c r="J254" s="49">
        <v>10.618257317059415</v>
      </c>
      <c r="K254" s="28"/>
      <c r="L254" s="29"/>
      <c r="M254" s="29"/>
      <c r="N254" s="29"/>
      <c r="O254" s="29"/>
      <c r="P254" s="133"/>
    </row>
    <row r="255" spans="2:16" x14ac:dyDescent="0.35">
      <c r="B255" s="132"/>
      <c r="C255" s="186" t="s">
        <v>225</v>
      </c>
      <c r="D255" s="186" t="s">
        <v>32</v>
      </c>
      <c r="E255" s="186" t="b">
        <v>1</v>
      </c>
      <c r="F255" s="186" t="s">
        <v>12</v>
      </c>
      <c r="G255" s="186" t="s">
        <v>11</v>
      </c>
      <c r="H255" s="48" t="str">
        <f t="shared" si="9"/>
        <v>Horticulture|TRUE|700to900|DrainedArGr</v>
      </c>
      <c r="I255" s="128">
        <v>0.53179266388476387</v>
      </c>
      <c r="J255" s="49">
        <v>10.594633528196926</v>
      </c>
      <c r="K255" s="28"/>
      <c r="L255" s="29"/>
      <c r="M255" s="29"/>
      <c r="N255" s="29"/>
      <c r="O255" s="29"/>
      <c r="P255" s="133"/>
    </row>
    <row r="256" spans="2:16" x14ac:dyDescent="0.35">
      <c r="B256" s="132"/>
      <c r="C256" s="186" t="s">
        <v>225</v>
      </c>
      <c r="D256" s="186" t="s">
        <v>32</v>
      </c>
      <c r="E256" s="186" t="b">
        <v>0</v>
      </c>
      <c r="F256" s="186" t="s">
        <v>22</v>
      </c>
      <c r="G256" s="186" t="s">
        <v>9</v>
      </c>
      <c r="H256" s="48" t="str">
        <f t="shared" si="9"/>
        <v>Horticulture|FALSE|900to1200|FreeDrain</v>
      </c>
      <c r="I256" s="128">
        <v>0.15260973149560345</v>
      </c>
      <c r="J256" s="49">
        <v>19.432079952331552</v>
      </c>
      <c r="K256" s="28"/>
      <c r="L256" s="29"/>
      <c r="M256" s="29"/>
      <c r="N256" s="29"/>
      <c r="O256" s="29"/>
      <c r="P256" s="133"/>
    </row>
    <row r="257" spans="2:16" x14ac:dyDescent="0.35">
      <c r="B257" s="132"/>
      <c r="C257" s="186" t="s">
        <v>225</v>
      </c>
      <c r="D257" s="186" t="s">
        <v>32</v>
      </c>
      <c r="E257" s="186" t="b">
        <v>1</v>
      </c>
      <c r="F257" s="186" t="s">
        <v>22</v>
      </c>
      <c r="G257" s="186" t="s">
        <v>9</v>
      </c>
      <c r="H257" s="48" t="str">
        <f t="shared" si="9"/>
        <v>Horticulture|TRUE|900to1200|FreeDrain</v>
      </c>
      <c r="I257" s="128">
        <v>0.15260973149560345</v>
      </c>
      <c r="J257" s="49">
        <v>19.381438305190169</v>
      </c>
      <c r="K257" s="28"/>
      <c r="L257" s="29"/>
      <c r="M257" s="29"/>
      <c r="N257" s="29"/>
      <c r="O257" s="29"/>
      <c r="P257" s="133"/>
    </row>
    <row r="258" spans="2:16" x14ac:dyDescent="0.35">
      <c r="B258" s="132"/>
      <c r="C258" s="186" t="s">
        <v>225</v>
      </c>
      <c r="D258" s="186" t="s">
        <v>32</v>
      </c>
      <c r="E258" s="186" t="b">
        <v>0</v>
      </c>
      <c r="F258" s="186" t="s">
        <v>22</v>
      </c>
      <c r="G258" s="186" t="s">
        <v>10</v>
      </c>
      <c r="H258" s="48" t="str">
        <f t="shared" si="9"/>
        <v>Horticulture|FALSE|900to1200|DrainedAr</v>
      </c>
      <c r="I258" s="128">
        <v>0.70114603536671094</v>
      </c>
      <c r="J258" s="49">
        <v>16.610216276408934</v>
      </c>
      <c r="K258" s="28"/>
      <c r="L258" s="29"/>
      <c r="M258" s="29"/>
      <c r="N258" s="29"/>
      <c r="O258" s="29"/>
      <c r="P258" s="133"/>
    </row>
    <row r="259" spans="2:16" x14ac:dyDescent="0.35">
      <c r="B259" s="132"/>
      <c r="C259" s="186" t="s">
        <v>225</v>
      </c>
      <c r="D259" s="186" t="s">
        <v>32</v>
      </c>
      <c r="E259" s="186" t="b">
        <v>0</v>
      </c>
      <c r="F259" s="186" t="s">
        <v>22</v>
      </c>
      <c r="G259" s="186" t="s">
        <v>11</v>
      </c>
      <c r="H259" s="48" t="str">
        <f t="shared" si="9"/>
        <v>Horticulture|FALSE|900to1200|DrainedArGr</v>
      </c>
      <c r="I259" s="128">
        <v>0.87056529588119902</v>
      </c>
      <c r="J259" s="49">
        <v>13.370310619715973</v>
      </c>
      <c r="K259" s="28"/>
      <c r="L259" s="29"/>
      <c r="M259" s="29"/>
      <c r="N259" s="29"/>
      <c r="O259" s="29"/>
      <c r="P259" s="133"/>
    </row>
    <row r="260" spans="2:16" x14ac:dyDescent="0.35">
      <c r="B260" s="132"/>
      <c r="C260" s="186" t="s">
        <v>225</v>
      </c>
      <c r="D260" s="186" t="s">
        <v>32</v>
      </c>
      <c r="E260" s="186" t="b">
        <v>0</v>
      </c>
      <c r="F260" s="186" t="s">
        <v>27</v>
      </c>
      <c r="G260" s="186" t="s">
        <v>9</v>
      </c>
      <c r="H260" s="48" t="str">
        <f t="shared" si="9"/>
        <v>Horticulture|FALSE|1200to1500|FreeDrain</v>
      </c>
      <c r="I260" s="128">
        <v>0.23535047995281644</v>
      </c>
      <c r="J260" s="49">
        <v>21.622420522437285</v>
      </c>
      <c r="K260" s="28"/>
      <c r="L260" s="29"/>
      <c r="M260" s="29"/>
      <c r="N260" s="29"/>
      <c r="O260" s="29"/>
      <c r="P260" s="133"/>
    </row>
    <row r="261" spans="2:16" x14ac:dyDescent="0.35">
      <c r="B261" s="132"/>
      <c r="C261" s="186" t="s">
        <v>225</v>
      </c>
      <c r="D261" s="186" t="s">
        <v>42</v>
      </c>
      <c r="E261" s="186" t="b">
        <v>1</v>
      </c>
      <c r="F261" s="186" t="s">
        <v>8</v>
      </c>
      <c r="G261" s="186" t="s">
        <v>10</v>
      </c>
      <c r="H261" s="48" t="str">
        <f t="shared" si="9"/>
        <v>Pig|TRUE|600to700|DrainedAr</v>
      </c>
      <c r="I261" s="128">
        <v>0.26133086894235541</v>
      </c>
      <c r="J261" s="49">
        <v>39.059092226075983</v>
      </c>
      <c r="K261" s="28"/>
      <c r="L261" s="29"/>
      <c r="M261" s="29"/>
      <c r="N261" s="29"/>
      <c r="O261" s="29"/>
      <c r="P261" s="133"/>
    </row>
    <row r="262" spans="2:16" x14ac:dyDescent="0.35">
      <c r="B262" s="132"/>
      <c r="C262" s="186" t="s">
        <v>225</v>
      </c>
      <c r="D262" s="186" t="s">
        <v>42</v>
      </c>
      <c r="E262" s="186" t="b">
        <v>1</v>
      </c>
      <c r="F262" s="186" t="s">
        <v>12</v>
      </c>
      <c r="G262" s="186" t="s">
        <v>9</v>
      </c>
      <c r="H262" s="48" t="str">
        <f t="shared" si="9"/>
        <v>Pig|TRUE|700to900|FreeDrain</v>
      </c>
      <c r="I262" s="128">
        <v>0.15288519803862832</v>
      </c>
      <c r="J262" s="49">
        <v>71.940027714944463</v>
      </c>
      <c r="K262" s="28"/>
      <c r="L262" s="29"/>
      <c r="M262" s="29"/>
      <c r="N262" s="29"/>
      <c r="O262" s="29"/>
      <c r="P262" s="133"/>
    </row>
    <row r="263" spans="2:16" x14ac:dyDescent="0.35">
      <c r="B263" s="132"/>
      <c r="C263" s="186" t="s">
        <v>225</v>
      </c>
      <c r="D263" s="186" t="s">
        <v>42</v>
      </c>
      <c r="E263" s="186" t="b">
        <v>1</v>
      </c>
      <c r="F263" s="186" t="s">
        <v>12</v>
      </c>
      <c r="G263" s="186" t="s">
        <v>10</v>
      </c>
      <c r="H263" s="48" t="str">
        <f t="shared" si="9"/>
        <v>Pig|TRUE|700to900|DrainedAr</v>
      </c>
      <c r="I263" s="128">
        <v>0.54752014597034804</v>
      </c>
      <c r="J263" s="49">
        <v>49.233423687179261</v>
      </c>
      <c r="K263" s="28"/>
      <c r="L263" s="29"/>
      <c r="M263" s="29"/>
      <c r="N263" s="29"/>
      <c r="O263" s="29"/>
      <c r="P263" s="133"/>
    </row>
    <row r="264" spans="2:16" x14ac:dyDescent="0.35">
      <c r="B264" s="132"/>
      <c r="C264" s="186" t="s">
        <v>225</v>
      </c>
      <c r="D264" s="186" t="s">
        <v>42</v>
      </c>
      <c r="E264" s="186" t="b">
        <v>0</v>
      </c>
      <c r="F264" s="186" t="s">
        <v>12</v>
      </c>
      <c r="G264" s="186" t="s">
        <v>11</v>
      </c>
      <c r="H264" s="48" t="str">
        <f t="shared" si="9"/>
        <v>Pig|FALSE|700to900|DrainedArGr</v>
      </c>
      <c r="I264" s="128">
        <v>0.98398994060649314</v>
      </c>
      <c r="J264" s="49">
        <v>42.224672186784247</v>
      </c>
      <c r="K264" s="28"/>
      <c r="L264" s="29"/>
      <c r="M264" s="29"/>
      <c r="N264" s="29"/>
      <c r="O264" s="29"/>
      <c r="P264" s="133"/>
    </row>
    <row r="265" spans="2:16" x14ac:dyDescent="0.35">
      <c r="B265" s="132"/>
      <c r="C265" s="186" t="s">
        <v>225</v>
      </c>
      <c r="D265" s="186" t="s">
        <v>42</v>
      </c>
      <c r="E265" s="186" t="b">
        <v>0</v>
      </c>
      <c r="F265" s="186" t="s">
        <v>22</v>
      </c>
      <c r="G265" s="186" t="s">
        <v>9</v>
      </c>
      <c r="H265" s="48" t="str">
        <f t="shared" si="9"/>
        <v>Pig|FALSE|900to1200|FreeDrain</v>
      </c>
      <c r="I265" s="128">
        <v>0.25730410151448502</v>
      </c>
      <c r="J265" s="49">
        <v>75.577287401966089</v>
      </c>
      <c r="K265" s="28"/>
      <c r="L265" s="29"/>
      <c r="M265" s="29"/>
      <c r="N265" s="29"/>
      <c r="O265" s="29"/>
      <c r="P265" s="133"/>
    </row>
    <row r="266" spans="2:16" x14ac:dyDescent="0.35">
      <c r="B266" s="132"/>
      <c r="C266" s="186" t="s">
        <v>225</v>
      </c>
      <c r="D266" s="186" t="s">
        <v>42</v>
      </c>
      <c r="E266" s="186" t="b">
        <v>0</v>
      </c>
      <c r="F266" s="186" t="s">
        <v>22</v>
      </c>
      <c r="G266" s="186" t="s">
        <v>10</v>
      </c>
      <c r="H266" s="48" t="str">
        <f t="shared" si="9"/>
        <v>Pig|FALSE|900to1200|DrainedAr</v>
      </c>
      <c r="I266" s="128">
        <v>1.0347303330991411</v>
      </c>
      <c r="J266" s="49">
        <v>61.602844047470541</v>
      </c>
      <c r="K266" s="28"/>
      <c r="L266" s="29"/>
      <c r="M266" s="29"/>
      <c r="N266" s="29"/>
      <c r="O266" s="29"/>
      <c r="P266" s="133"/>
    </row>
    <row r="267" spans="2:16" x14ac:dyDescent="0.35">
      <c r="B267" s="132"/>
      <c r="C267" s="186" t="s">
        <v>225</v>
      </c>
      <c r="D267" s="186" t="s">
        <v>42</v>
      </c>
      <c r="E267" s="186" t="b">
        <v>0</v>
      </c>
      <c r="F267" s="186" t="s">
        <v>27</v>
      </c>
      <c r="G267" s="186" t="s">
        <v>9</v>
      </c>
      <c r="H267" s="48" t="str">
        <f t="shared" si="9"/>
        <v>Pig|FALSE|1200to1500|FreeDrain</v>
      </c>
      <c r="I267" s="128">
        <v>0.36631495667075553</v>
      </c>
      <c r="J267" s="49">
        <v>77.259120523992081</v>
      </c>
      <c r="K267" s="28"/>
      <c r="L267" s="29"/>
      <c r="M267" s="29"/>
      <c r="N267" s="29"/>
      <c r="O267" s="29"/>
      <c r="P267" s="133"/>
    </row>
    <row r="268" spans="2:16" x14ac:dyDescent="0.35">
      <c r="B268" s="132"/>
      <c r="C268" s="186" t="s">
        <v>225</v>
      </c>
      <c r="D268" s="186" t="s">
        <v>47</v>
      </c>
      <c r="E268" s="186" t="b">
        <v>1</v>
      </c>
      <c r="F268" s="186" t="s">
        <v>8</v>
      </c>
      <c r="G268" s="186" t="s">
        <v>9</v>
      </c>
      <c r="H268" s="48" t="str">
        <f t="shared" si="9"/>
        <v>Poultry|TRUE|600to700|FreeDrain</v>
      </c>
      <c r="I268" s="128">
        <v>0.15595657389111811</v>
      </c>
      <c r="J268" s="49">
        <v>289.69975527036314</v>
      </c>
      <c r="K268" s="28"/>
      <c r="L268" s="29"/>
      <c r="M268" s="29"/>
      <c r="N268" s="29"/>
      <c r="O268" s="29"/>
      <c r="P268" s="133"/>
    </row>
    <row r="269" spans="2:16" x14ac:dyDescent="0.35">
      <c r="B269" s="132"/>
      <c r="C269" s="186" t="s">
        <v>225</v>
      </c>
      <c r="D269" s="186" t="s">
        <v>47</v>
      </c>
      <c r="E269" s="186" t="b">
        <v>1</v>
      </c>
      <c r="F269" s="186" t="s">
        <v>8</v>
      </c>
      <c r="G269" s="186" t="s">
        <v>10</v>
      </c>
      <c r="H269" s="48" t="str">
        <f t="shared" si="9"/>
        <v>Poultry|TRUE|600to700|DrainedAr</v>
      </c>
      <c r="I269" s="128">
        <v>0.37095301197551178</v>
      </c>
      <c r="J269" s="49">
        <v>179.13330103722606</v>
      </c>
      <c r="K269" s="28"/>
      <c r="L269" s="29"/>
      <c r="M269" s="29"/>
      <c r="N269" s="29"/>
      <c r="O269" s="29"/>
      <c r="P269" s="133"/>
    </row>
    <row r="270" spans="2:16" x14ac:dyDescent="0.35">
      <c r="B270" s="132"/>
      <c r="C270" s="186" t="s">
        <v>225</v>
      </c>
      <c r="D270" s="186" t="s">
        <v>47</v>
      </c>
      <c r="E270" s="186" t="b">
        <v>0</v>
      </c>
      <c r="F270" s="186" t="s">
        <v>12</v>
      </c>
      <c r="G270" s="186" t="s">
        <v>9</v>
      </c>
      <c r="H270" s="48" t="str">
        <f t="shared" si="9"/>
        <v>Poultry|FALSE|700to900|FreeDrain</v>
      </c>
      <c r="I270" s="128">
        <v>0.3360039173240848</v>
      </c>
      <c r="J270" s="49">
        <v>339.48301966077958</v>
      </c>
      <c r="K270" s="28"/>
      <c r="L270" s="29"/>
      <c r="M270" s="29"/>
      <c r="N270" s="29"/>
      <c r="O270" s="29"/>
      <c r="P270" s="133"/>
    </row>
    <row r="271" spans="2:16" x14ac:dyDescent="0.35">
      <c r="B271" s="132"/>
      <c r="C271" s="186" t="s">
        <v>225</v>
      </c>
      <c r="D271" s="186" t="s">
        <v>47</v>
      </c>
      <c r="E271" s="186" t="b">
        <v>1</v>
      </c>
      <c r="F271" s="186" t="s">
        <v>12</v>
      </c>
      <c r="G271" s="186" t="s">
        <v>9</v>
      </c>
      <c r="H271" s="48" t="str">
        <f t="shared" si="9"/>
        <v>Poultry|TRUE|700to900|FreeDrain</v>
      </c>
      <c r="I271" s="128">
        <v>0.32383723684061533</v>
      </c>
      <c r="J271" s="49">
        <v>340.98258985841949</v>
      </c>
      <c r="K271" s="28"/>
      <c r="L271" s="29"/>
      <c r="M271" s="29"/>
      <c r="N271" s="29"/>
      <c r="O271" s="29"/>
      <c r="P271" s="133"/>
    </row>
    <row r="272" spans="2:16" x14ac:dyDescent="0.35">
      <c r="B272" s="132"/>
      <c r="C272" s="186" t="s">
        <v>225</v>
      </c>
      <c r="D272" s="186" t="s">
        <v>47</v>
      </c>
      <c r="E272" s="186" t="b">
        <v>0</v>
      </c>
      <c r="F272" s="186" t="s">
        <v>12</v>
      </c>
      <c r="G272" s="186" t="s">
        <v>10</v>
      </c>
      <c r="H272" s="48" t="str">
        <f t="shared" si="9"/>
        <v>Poultry|FALSE|700to900|DrainedAr</v>
      </c>
      <c r="I272" s="128">
        <v>0.77667229158210083</v>
      </c>
      <c r="J272" s="49">
        <v>231.68149206460464</v>
      </c>
      <c r="K272" s="28"/>
      <c r="L272" s="29"/>
      <c r="M272" s="29"/>
      <c r="N272" s="29"/>
      <c r="O272" s="29"/>
      <c r="P272" s="133"/>
    </row>
    <row r="273" spans="2:16" x14ac:dyDescent="0.35">
      <c r="B273" s="132"/>
      <c r="C273" s="186" t="s">
        <v>225</v>
      </c>
      <c r="D273" s="186" t="s">
        <v>47</v>
      </c>
      <c r="E273" s="186" t="b">
        <v>1</v>
      </c>
      <c r="F273" s="186" t="s">
        <v>12</v>
      </c>
      <c r="G273" s="186" t="s">
        <v>10</v>
      </c>
      <c r="H273" s="48" t="str">
        <f t="shared" si="9"/>
        <v>Poultry|TRUE|700to900|DrainedAr</v>
      </c>
      <c r="I273" s="128">
        <v>0.71060950638878928</v>
      </c>
      <c r="J273" s="49">
        <v>222.14973793739543</v>
      </c>
      <c r="K273" s="28"/>
      <c r="L273" s="29"/>
      <c r="M273" s="29"/>
      <c r="N273" s="29"/>
      <c r="O273" s="29"/>
      <c r="P273" s="133"/>
    </row>
    <row r="274" spans="2:16" x14ac:dyDescent="0.35">
      <c r="B274" s="132"/>
      <c r="C274" s="186" t="s">
        <v>225</v>
      </c>
      <c r="D274" s="186" t="s">
        <v>47</v>
      </c>
      <c r="E274" s="186" t="b">
        <v>0</v>
      </c>
      <c r="F274" s="186" t="s">
        <v>12</v>
      </c>
      <c r="G274" s="186" t="s">
        <v>11</v>
      </c>
      <c r="H274" s="48" t="str">
        <f t="shared" si="9"/>
        <v>Poultry|FALSE|700to900|DrainedArGr</v>
      </c>
      <c r="I274" s="128">
        <v>1.3224923443974244</v>
      </c>
      <c r="J274" s="49">
        <v>188.73121109127649</v>
      </c>
      <c r="K274" s="28"/>
      <c r="L274" s="29"/>
      <c r="M274" s="29"/>
      <c r="N274" s="29"/>
      <c r="O274" s="29"/>
      <c r="P274" s="133"/>
    </row>
    <row r="275" spans="2:16" x14ac:dyDescent="0.35">
      <c r="B275" s="132"/>
      <c r="C275" s="186" t="s">
        <v>225</v>
      </c>
      <c r="D275" s="186" t="s">
        <v>47</v>
      </c>
      <c r="E275" s="186" t="b">
        <v>1</v>
      </c>
      <c r="F275" s="186" t="s">
        <v>12</v>
      </c>
      <c r="G275" s="186" t="s">
        <v>11</v>
      </c>
      <c r="H275" s="48" t="str">
        <f t="shared" si="9"/>
        <v>Poultry|TRUE|700to900|DrainedArGr</v>
      </c>
      <c r="I275" s="128">
        <v>1.2316852550017008</v>
      </c>
      <c r="J275" s="49">
        <v>174.52542701139581</v>
      </c>
      <c r="K275" s="28"/>
      <c r="L275" s="29"/>
      <c r="M275" s="29"/>
      <c r="N275" s="29"/>
      <c r="O275" s="29"/>
      <c r="P275" s="133"/>
    </row>
    <row r="276" spans="2:16" x14ac:dyDescent="0.35">
      <c r="B276" s="132"/>
      <c r="C276" s="186" t="s">
        <v>225</v>
      </c>
      <c r="D276" s="186" t="s">
        <v>47</v>
      </c>
      <c r="E276" s="186" t="b">
        <v>0</v>
      </c>
      <c r="F276" s="186" t="s">
        <v>22</v>
      </c>
      <c r="G276" s="186" t="s">
        <v>9</v>
      </c>
      <c r="H276" s="48" t="str">
        <f t="shared" si="9"/>
        <v>Poultry|FALSE|900to1200|FreeDrain</v>
      </c>
      <c r="I276" s="128">
        <v>0.49430333716427421</v>
      </c>
      <c r="J276" s="49">
        <v>355.67071057657984</v>
      </c>
      <c r="K276" s="28"/>
      <c r="L276" s="29"/>
      <c r="M276" s="29"/>
      <c r="N276" s="29"/>
      <c r="O276" s="29"/>
      <c r="P276" s="133"/>
    </row>
    <row r="277" spans="2:16" x14ac:dyDescent="0.35">
      <c r="B277" s="132"/>
      <c r="C277" s="186" t="s">
        <v>225</v>
      </c>
      <c r="D277" s="186" t="s">
        <v>47</v>
      </c>
      <c r="E277" s="186" t="b">
        <v>1</v>
      </c>
      <c r="F277" s="186" t="s">
        <v>22</v>
      </c>
      <c r="G277" s="186" t="s">
        <v>9</v>
      </c>
      <c r="H277" s="48" t="str">
        <f t="shared" si="9"/>
        <v>Poultry|TRUE|900to1200|FreeDrain</v>
      </c>
      <c r="I277" s="128">
        <v>0.47939039607895922</v>
      </c>
      <c r="J277" s="49">
        <v>357.23268640716998</v>
      </c>
      <c r="K277" s="28"/>
      <c r="L277" s="29"/>
      <c r="M277" s="29"/>
      <c r="N277" s="29"/>
      <c r="O277" s="29"/>
      <c r="P277" s="133"/>
    </row>
    <row r="278" spans="2:16" x14ac:dyDescent="0.35">
      <c r="B278" s="132"/>
      <c r="C278" s="186" t="s">
        <v>225</v>
      </c>
      <c r="D278" s="186" t="s">
        <v>47</v>
      </c>
      <c r="E278" s="186" t="b">
        <v>0</v>
      </c>
      <c r="F278" s="186" t="s">
        <v>22</v>
      </c>
      <c r="G278" s="186" t="s">
        <v>10</v>
      </c>
      <c r="H278" s="48" t="str">
        <f t="shared" si="9"/>
        <v>Poultry|FALSE|900to1200|DrainedAr</v>
      </c>
      <c r="I278" s="128">
        <v>1.3136434144894946</v>
      </c>
      <c r="J278" s="49">
        <v>275.13198994088668</v>
      </c>
      <c r="K278" s="28"/>
      <c r="L278" s="29"/>
      <c r="M278" s="29"/>
      <c r="N278" s="29"/>
      <c r="O278" s="29"/>
      <c r="P278" s="133"/>
    </row>
    <row r="279" spans="2:16" x14ac:dyDescent="0.35">
      <c r="B279" s="132"/>
      <c r="C279" s="186" t="s">
        <v>225</v>
      </c>
      <c r="D279" s="186" t="s">
        <v>47</v>
      </c>
      <c r="E279" s="186" t="b">
        <v>0</v>
      </c>
      <c r="F279" s="186" t="s">
        <v>22</v>
      </c>
      <c r="G279" s="186" t="s">
        <v>11</v>
      </c>
      <c r="H279" s="48" t="str">
        <f t="shared" si="9"/>
        <v>Poultry|FALSE|900to1200|DrainedArGr</v>
      </c>
      <c r="I279" s="128">
        <v>2.0579166829017108</v>
      </c>
      <c r="J279" s="49">
        <v>203.52624718342884</v>
      </c>
      <c r="K279" s="28"/>
      <c r="L279" s="29"/>
      <c r="M279" s="29"/>
      <c r="N279" s="29"/>
      <c r="O279" s="29"/>
      <c r="P279" s="133"/>
    </row>
    <row r="280" spans="2:16" x14ac:dyDescent="0.35">
      <c r="B280" s="132"/>
      <c r="C280" s="186" t="s">
        <v>225</v>
      </c>
      <c r="D280" s="186" t="s">
        <v>47</v>
      </c>
      <c r="E280" s="186" t="b">
        <v>0</v>
      </c>
      <c r="F280" s="186" t="s">
        <v>27</v>
      </c>
      <c r="G280" s="186" t="s">
        <v>9</v>
      </c>
      <c r="H280" s="48" t="str">
        <f t="shared" si="9"/>
        <v>Poultry|FALSE|1200to1500|FreeDrain</v>
      </c>
      <c r="I280" s="128">
        <v>0.61448013025887749</v>
      </c>
      <c r="J280" s="49">
        <v>362.11410275560712</v>
      </c>
      <c r="K280" s="28"/>
      <c r="L280" s="29"/>
      <c r="M280" s="29"/>
      <c r="N280" s="29"/>
      <c r="O280" s="29"/>
      <c r="P280" s="133"/>
    </row>
    <row r="281" spans="2:16" x14ac:dyDescent="0.35">
      <c r="B281" s="132"/>
      <c r="C281" s="186" t="s">
        <v>225</v>
      </c>
      <c r="D281" s="186" t="s">
        <v>55</v>
      </c>
      <c r="E281" s="186" t="b">
        <v>1</v>
      </c>
      <c r="F281" s="186" t="s">
        <v>8</v>
      </c>
      <c r="G281" s="186" t="s">
        <v>9</v>
      </c>
      <c r="H281" s="48" t="str">
        <f t="shared" si="9"/>
        <v>Dairy|TRUE|600to700|FreeDrain</v>
      </c>
      <c r="I281" s="128">
        <v>0.11859233095983837</v>
      </c>
      <c r="J281" s="49">
        <v>34.400572076414939</v>
      </c>
      <c r="K281" s="28"/>
      <c r="L281" s="29"/>
      <c r="M281" s="29"/>
      <c r="N281" s="29"/>
      <c r="O281" s="29"/>
      <c r="P281" s="133"/>
    </row>
    <row r="282" spans="2:16" x14ac:dyDescent="0.35">
      <c r="B282" s="132"/>
      <c r="C282" s="186" t="s">
        <v>225</v>
      </c>
      <c r="D282" s="186" t="s">
        <v>55</v>
      </c>
      <c r="E282" s="186" t="b">
        <v>1</v>
      </c>
      <c r="F282" s="186" t="s">
        <v>8</v>
      </c>
      <c r="G282" s="186" t="s">
        <v>10</v>
      </c>
      <c r="H282" s="48" t="str">
        <f t="shared" ref="H282:H331" si="10">D282&amp;"|"&amp;E282&amp;"|"&amp;F282&amp;"|"&amp;G282</f>
        <v>Dairy|TRUE|600to700|DrainedAr</v>
      </c>
      <c r="I282" s="128">
        <v>0.21249349342508217</v>
      </c>
      <c r="J282" s="49">
        <v>22.944228670088066</v>
      </c>
      <c r="K282" s="28"/>
      <c r="L282" s="29"/>
      <c r="M282" s="29"/>
      <c r="N282" s="29"/>
      <c r="O282" s="29"/>
      <c r="P282" s="133"/>
    </row>
    <row r="283" spans="2:16" x14ac:dyDescent="0.35">
      <c r="B283" s="132"/>
      <c r="C283" s="186" t="s">
        <v>225</v>
      </c>
      <c r="D283" s="186" t="s">
        <v>55</v>
      </c>
      <c r="E283" s="186" t="b">
        <v>1</v>
      </c>
      <c r="F283" s="186" t="s">
        <v>8</v>
      </c>
      <c r="G283" s="186" t="s">
        <v>11</v>
      </c>
      <c r="H283" s="48" t="str">
        <f t="shared" si="10"/>
        <v>Dairy|TRUE|600to700|DrainedArGr</v>
      </c>
      <c r="I283" s="128">
        <v>0.85232421955895432</v>
      </c>
      <c r="J283" s="49">
        <v>17.698405230104154</v>
      </c>
      <c r="K283" s="28"/>
      <c r="L283" s="29"/>
      <c r="M283" s="29"/>
      <c r="N283" s="29"/>
      <c r="O283" s="29"/>
      <c r="P283" s="133"/>
    </row>
    <row r="284" spans="2:16" x14ac:dyDescent="0.35">
      <c r="B284" s="132"/>
      <c r="C284" s="186" t="s">
        <v>225</v>
      </c>
      <c r="D284" s="186" t="s">
        <v>55</v>
      </c>
      <c r="E284" s="186" t="b">
        <v>0</v>
      </c>
      <c r="F284" s="186" t="s">
        <v>12</v>
      </c>
      <c r="G284" s="186" t="s">
        <v>9</v>
      </c>
      <c r="H284" s="48" t="str">
        <f t="shared" si="10"/>
        <v>Dairy|FALSE|700to900|FreeDrain</v>
      </c>
      <c r="I284" s="128">
        <v>0.19131583309291014</v>
      </c>
      <c r="J284" s="49">
        <v>47.838571108601485</v>
      </c>
      <c r="K284" s="28"/>
      <c r="L284" s="29"/>
      <c r="M284" s="29"/>
      <c r="N284" s="29"/>
      <c r="O284" s="29"/>
      <c r="P284" s="133"/>
    </row>
    <row r="285" spans="2:16" x14ac:dyDescent="0.35">
      <c r="B285" s="132"/>
      <c r="C285" s="186" t="s">
        <v>225</v>
      </c>
      <c r="D285" s="186" t="s">
        <v>55</v>
      </c>
      <c r="E285" s="186" t="b">
        <v>1</v>
      </c>
      <c r="F285" s="186" t="s">
        <v>12</v>
      </c>
      <c r="G285" s="186" t="s">
        <v>9</v>
      </c>
      <c r="H285" s="48" t="str">
        <f t="shared" si="10"/>
        <v>Dairy|TRUE|700to900|FreeDrain</v>
      </c>
      <c r="I285" s="128">
        <v>0.18931156425096926</v>
      </c>
      <c r="J285" s="49">
        <v>47.363507926422976</v>
      </c>
      <c r="K285" s="28"/>
      <c r="L285" s="29"/>
      <c r="M285" s="29"/>
      <c r="N285" s="29"/>
      <c r="O285" s="29"/>
      <c r="P285" s="133"/>
    </row>
    <row r="286" spans="2:16" x14ac:dyDescent="0.35">
      <c r="B286" s="132"/>
      <c r="C286" s="186" t="s">
        <v>225</v>
      </c>
      <c r="D286" s="186" t="s">
        <v>55</v>
      </c>
      <c r="E286" s="186" t="b">
        <v>0</v>
      </c>
      <c r="F286" s="186" t="s">
        <v>12</v>
      </c>
      <c r="G286" s="186" t="s">
        <v>10</v>
      </c>
      <c r="H286" s="48" t="str">
        <f t="shared" si="10"/>
        <v>Dairy|FALSE|700to900|DrainedAr</v>
      </c>
      <c r="I286" s="128">
        <v>0.37723149553738011</v>
      </c>
      <c r="J286" s="49">
        <v>36.81075695963262</v>
      </c>
      <c r="K286" s="28"/>
      <c r="L286" s="29"/>
      <c r="M286" s="29"/>
      <c r="N286" s="29"/>
      <c r="O286" s="29"/>
      <c r="P286" s="133"/>
    </row>
    <row r="287" spans="2:16" x14ac:dyDescent="0.35">
      <c r="B287" s="132"/>
      <c r="C287" s="186" t="s">
        <v>225</v>
      </c>
      <c r="D287" s="186" t="s">
        <v>55</v>
      </c>
      <c r="E287" s="186" t="b">
        <v>1</v>
      </c>
      <c r="F287" s="186" t="s">
        <v>12</v>
      </c>
      <c r="G287" s="186" t="s">
        <v>10</v>
      </c>
      <c r="H287" s="48" t="str">
        <f t="shared" si="10"/>
        <v>Dairy|TRUE|700to900|DrainedAr</v>
      </c>
      <c r="I287" s="128">
        <v>0.37430503244097962</v>
      </c>
      <c r="J287" s="49">
        <v>36.418664499885153</v>
      </c>
      <c r="K287" s="28"/>
      <c r="L287" s="29"/>
      <c r="M287" s="29"/>
      <c r="N287" s="29"/>
      <c r="O287" s="29"/>
      <c r="P287" s="133"/>
    </row>
    <row r="288" spans="2:16" x14ac:dyDescent="0.35">
      <c r="B288" s="132"/>
      <c r="C288" s="186" t="s">
        <v>225</v>
      </c>
      <c r="D288" s="186" t="s">
        <v>55</v>
      </c>
      <c r="E288" s="186" t="b">
        <v>1</v>
      </c>
      <c r="F288" s="186" t="s">
        <v>12</v>
      </c>
      <c r="G288" s="186" t="s">
        <v>11</v>
      </c>
      <c r="H288" s="48" t="str">
        <f t="shared" si="10"/>
        <v>Dairy|TRUE|700to900|DrainedArGr</v>
      </c>
      <c r="I288" s="128">
        <v>1.2544426725220097</v>
      </c>
      <c r="J288" s="49">
        <v>21.406756909482841</v>
      </c>
      <c r="K288" s="28"/>
      <c r="L288" s="29"/>
      <c r="M288" s="29"/>
      <c r="N288" s="29"/>
      <c r="O288" s="29"/>
      <c r="P288" s="133"/>
    </row>
    <row r="289" spans="2:16" x14ac:dyDescent="0.35">
      <c r="B289" s="132"/>
      <c r="C289" s="186" t="s">
        <v>225</v>
      </c>
      <c r="D289" s="186" t="s">
        <v>55</v>
      </c>
      <c r="E289" s="186" t="b">
        <v>0</v>
      </c>
      <c r="F289" s="186" t="s">
        <v>22</v>
      </c>
      <c r="G289" s="186" t="s">
        <v>9</v>
      </c>
      <c r="H289" s="48" t="str">
        <f t="shared" si="10"/>
        <v>Dairy|FALSE|900to1200|FreeDrain</v>
      </c>
      <c r="I289" s="128">
        <v>0.27686117206865818</v>
      </c>
      <c r="J289" s="49">
        <v>50.554830023226614</v>
      </c>
      <c r="K289" s="28"/>
      <c r="L289" s="29"/>
      <c r="M289" s="29"/>
      <c r="N289" s="29"/>
      <c r="O289" s="29"/>
      <c r="P289" s="133"/>
    </row>
    <row r="290" spans="2:16" x14ac:dyDescent="0.35">
      <c r="B290" s="132"/>
      <c r="C290" s="186" t="s">
        <v>225</v>
      </c>
      <c r="D290" s="186" t="s">
        <v>55</v>
      </c>
      <c r="E290" s="186" t="b">
        <v>0</v>
      </c>
      <c r="F290" s="186" t="s">
        <v>22</v>
      </c>
      <c r="G290" s="186" t="s">
        <v>10</v>
      </c>
      <c r="H290" s="48" t="str">
        <f t="shared" si="10"/>
        <v>Dairy|FALSE|900to1200|DrainedAr</v>
      </c>
      <c r="I290" s="128">
        <v>0.64158674622859302</v>
      </c>
      <c r="J290" s="49">
        <v>46.467328833719577</v>
      </c>
      <c r="K290" s="28"/>
      <c r="L290" s="29"/>
      <c r="M290" s="29"/>
      <c r="N290" s="29"/>
      <c r="O290" s="29"/>
      <c r="P290" s="133"/>
    </row>
    <row r="291" spans="2:16" x14ac:dyDescent="0.35">
      <c r="B291" s="132"/>
      <c r="C291" s="186" t="s">
        <v>225</v>
      </c>
      <c r="D291" s="186" t="s">
        <v>57</v>
      </c>
      <c r="E291" s="186" t="b">
        <v>1</v>
      </c>
      <c r="F291" s="186" t="s">
        <v>8</v>
      </c>
      <c r="G291" s="186" t="s">
        <v>9</v>
      </c>
      <c r="H291" s="48" t="str">
        <f t="shared" si="10"/>
        <v>LFA|TRUE|600to700|FreeDrain</v>
      </c>
      <c r="I291" s="128">
        <v>5.9418312936367415E-2</v>
      </c>
      <c r="J291" s="49">
        <v>10.497451778589754</v>
      </c>
      <c r="K291" s="28"/>
      <c r="L291" s="29"/>
      <c r="M291" s="29"/>
      <c r="N291" s="29"/>
      <c r="O291" s="29"/>
      <c r="P291" s="133"/>
    </row>
    <row r="292" spans="2:16" x14ac:dyDescent="0.35">
      <c r="B292" s="132"/>
      <c r="C292" s="186" t="s">
        <v>225</v>
      </c>
      <c r="D292" s="186" t="s">
        <v>57</v>
      </c>
      <c r="E292" s="186" t="b">
        <v>1</v>
      </c>
      <c r="F292" s="186" t="s">
        <v>8</v>
      </c>
      <c r="G292" s="186" t="s">
        <v>10</v>
      </c>
      <c r="H292" s="48" t="str">
        <f t="shared" si="10"/>
        <v>LFA|TRUE|600to700|DrainedAr</v>
      </c>
      <c r="I292" s="128">
        <v>7.200065632389073E-2</v>
      </c>
      <c r="J292" s="49">
        <v>7.1360650331613433</v>
      </c>
      <c r="K292" s="28"/>
      <c r="L292" s="29"/>
      <c r="M292" s="29"/>
      <c r="N292" s="29"/>
      <c r="O292" s="29"/>
      <c r="P292" s="133"/>
    </row>
    <row r="293" spans="2:16" x14ac:dyDescent="0.35">
      <c r="B293" s="132"/>
      <c r="C293" s="186" t="s">
        <v>225</v>
      </c>
      <c r="D293" s="186" t="s">
        <v>57</v>
      </c>
      <c r="E293" s="186" t="b">
        <v>0</v>
      </c>
      <c r="F293" s="186" t="s">
        <v>12</v>
      </c>
      <c r="G293" s="186" t="s">
        <v>9</v>
      </c>
      <c r="H293" s="48" t="str">
        <f t="shared" si="10"/>
        <v>LFA|FALSE|700to900|FreeDrain</v>
      </c>
      <c r="I293" s="128">
        <v>0.10254477019967478</v>
      </c>
      <c r="J293" s="49">
        <v>15.603770995636228</v>
      </c>
      <c r="K293" s="28"/>
      <c r="L293" s="29"/>
      <c r="M293" s="29"/>
      <c r="N293" s="29"/>
      <c r="O293" s="29"/>
      <c r="P293" s="133"/>
    </row>
    <row r="294" spans="2:16" x14ac:dyDescent="0.35">
      <c r="B294" s="132"/>
      <c r="C294" s="186" t="s">
        <v>225</v>
      </c>
      <c r="D294" s="186" t="s">
        <v>57</v>
      </c>
      <c r="E294" s="186" t="b">
        <v>1</v>
      </c>
      <c r="F294" s="186" t="s">
        <v>12</v>
      </c>
      <c r="G294" s="186" t="s">
        <v>9</v>
      </c>
      <c r="H294" s="48" t="str">
        <f t="shared" si="10"/>
        <v>LFA|TRUE|700to900|FreeDrain</v>
      </c>
      <c r="I294" s="128">
        <v>0.10254465065795118</v>
      </c>
      <c r="J294" s="49">
        <v>15.538827345228837</v>
      </c>
      <c r="K294" s="28"/>
      <c r="L294" s="29"/>
      <c r="M294" s="29"/>
      <c r="N294" s="29"/>
      <c r="O294" s="29"/>
      <c r="P294" s="133"/>
    </row>
    <row r="295" spans="2:16" x14ac:dyDescent="0.35">
      <c r="B295" s="132"/>
      <c r="C295" s="186" t="s">
        <v>225</v>
      </c>
      <c r="D295" s="186" t="s">
        <v>57</v>
      </c>
      <c r="E295" s="186" t="b">
        <v>0</v>
      </c>
      <c r="F295" s="186" t="s">
        <v>12</v>
      </c>
      <c r="G295" s="186" t="s">
        <v>10</v>
      </c>
      <c r="H295" s="48" t="str">
        <f t="shared" si="10"/>
        <v>LFA|FALSE|700to900|DrainedAr</v>
      </c>
      <c r="I295" s="128">
        <v>0.11757236330502707</v>
      </c>
      <c r="J295" s="49">
        <v>12.256064103137126</v>
      </c>
      <c r="K295" s="28"/>
      <c r="L295" s="29"/>
      <c r="M295" s="29"/>
      <c r="N295" s="29"/>
      <c r="O295" s="29"/>
      <c r="P295" s="133"/>
    </row>
    <row r="296" spans="2:16" x14ac:dyDescent="0.35">
      <c r="B296" s="132"/>
      <c r="C296" s="186" t="s">
        <v>225</v>
      </c>
      <c r="D296" s="186" t="s">
        <v>57</v>
      </c>
      <c r="E296" s="186" t="b">
        <v>1</v>
      </c>
      <c r="F296" s="186" t="s">
        <v>12</v>
      </c>
      <c r="G296" s="186" t="s">
        <v>10</v>
      </c>
      <c r="H296" s="48" t="str">
        <f t="shared" si="10"/>
        <v>LFA|TRUE|700to900|DrainedAr</v>
      </c>
      <c r="I296" s="128">
        <v>0.11757221499284583</v>
      </c>
      <c r="J296" s="49">
        <v>12.206007104976379</v>
      </c>
      <c r="K296" s="28"/>
      <c r="L296" s="29"/>
      <c r="M296" s="29"/>
      <c r="N296" s="29"/>
      <c r="O296" s="29"/>
      <c r="P296" s="133"/>
    </row>
    <row r="297" spans="2:16" x14ac:dyDescent="0.35">
      <c r="B297" s="132"/>
      <c r="C297" s="186" t="s">
        <v>225</v>
      </c>
      <c r="D297" s="186" t="s">
        <v>57</v>
      </c>
      <c r="E297" s="186" t="b">
        <v>0</v>
      </c>
      <c r="F297" s="186" t="s">
        <v>12</v>
      </c>
      <c r="G297" s="186" t="s">
        <v>11</v>
      </c>
      <c r="H297" s="48" t="str">
        <f t="shared" si="10"/>
        <v>LFA|FALSE|700to900|DrainedArGr</v>
      </c>
      <c r="I297" s="128">
        <v>0.70892872196031642</v>
      </c>
      <c r="J297" s="49">
        <v>10.141136150485433</v>
      </c>
      <c r="K297" s="28"/>
      <c r="L297" s="29"/>
      <c r="M297" s="29"/>
      <c r="N297" s="29"/>
      <c r="O297" s="29"/>
      <c r="P297" s="133"/>
    </row>
    <row r="298" spans="2:16" x14ac:dyDescent="0.35">
      <c r="B298" s="132"/>
      <c r="C298" s="186" t="s">
        <v>225</v>
      </c>
      <c r="D298" s="186" t="s">
        <v>57</v>
      </c>
      <c r="E298" s="186" t="b">
        <v>1</v>
      </c>
      <c r="F298" s="186" t="s">
        <v>12</v>
      </c>
      <c r="G298" s="186" t="s">
        <v>11</v>
      </c>
      <c r="H298" s="48" t="str">
        <f t="shared" si="10"/>
        <v>LFA|TRUE|700to900|DrainedArGr</v>
      </c>
      <c r="I298" s="128">
        <v>0.70891357628771279</v>
      </c>
      <c r="J298" s="49">
        <v>10.129533851519525</v>
      </c>
      <c r="K298" s="28"/>
      <c r="L298" s="29"/>
      <c r="M298" s="29"/>
      <c r="N298" s="29"/>
      <c r="O298" s="29"/>
      <c r="P298" s="133"/>
    </row>
    <row r="299" spans="2:16" x14ac:dyDescent="0.35">
      <c r="B299" s="132"/>
      <c r="C299" s="186" t="s">
        <v>225</v>
      </c>
      <c r="D299" s="186" t="s">
        <v>57</v>
      </c>
      <c r="E299" s="186" t="b">
        <v>0</v>
      </c>
      <c r="F299" s="186" t="s">
        <v>22</v>
      </c>
      <c r="G299" s="186" t="s">
        <v>9</v>
      </c>
      <c r="H299" s="48" t="str">
        <f t="shared" si="10"/>
        <v>LFA|FALSE|900to1200|FreeDrain</v>
      </c>
      <c r="I299" s="128">
        <v>0.15830423476080263</v>
      </c>
      <c r="J299" s="49">
        <v>16.829146563789223</v>
      </c>
      <c r="K299" s="28"/>
      <c r="L299" s="29"/>
      <c r="M299" s="29"/>
      <c r="N299" s="29"/>
      <c r="O299" s="29"/>
      <c r="P299" s="133"/>
    </row>
    <row r="300" spans="2:16" x14ac:dyDescent="0.35">
      <c r="B300" s="132"/>
      <c r="C300" s="186" t="s">
        <v>225</v>
      </c>
      <c r="D300" s="186" t="s">
        <v>57</v>
      </c>
      <c r="E300" s="186" t="b">
        <v>0</v>
      </c>
      <c r="F300" s="186" t="s">
        <v>22</v>
      </c>
      <c r="G300" s="186" t="s">
        <v>10</v>
      </c>
      <c r="H300" s="48" t="str">
        <f t="shared" si="10"/>
        <v>LFA|FALSE|900to1200|DrainedAr</v>
      </c>
      <c r="I300" s="128">
        <v>0.18945121356131744</v>
      </c>
      <c r="J300" s="49">
        <v>15.975129242651985</v>
      </c>
      <c r="K300" s="28"/>
      <c r="L300" s="29"/>
      <c r="M300" s="29"/>
      <c r="N300" s="29"/>
      <c r="O300" s="29"/>
      <c r="P300" s="133"/>
    </row>
    <row r="301" spans="2:16" x14ac:dyDescent="0.35">
      <c r="B301" s="132"/>
      <c r="C301" s="186" t="s">
        <v>225</v>
      </c>
      <c r="D301" s="186" t="s">
        <v>57</v>
      </c>
      <c r="E301" s="186" t="b">
        <v>0</v>
      </c>
      <c r="F301" s="186" t="s">
        <v>27</v>
      </c>
      <c r="G301" s="186" t="s">
        <v>9</v>
      </c>
      <c r="H301" s="48" t="str">
        <f t="shared" si="10"/>
        <v>LFA|FALSE|1200to1500|FreeDrain</v>
      </c>
      <c r="I301" s="128">
        <v>0.21985829469081955</v>
      </c>
      <c r="J301" s="49">
        <v>16.353466912076914</v>
      </c>
      <c r="K301" s="28"/>
      <c r="L301" s="29"/>
      <c r="M301" s="29"/>
      <c r="N301" s="29"/>
      <c r="O301" s="29"/>
      <c r="P301" s="133"/>
    </row>
    <row r="302" spans="2:16" x14ac:dyDescent="0.35">
      <c r="B302" s="132"/>
      <c r="C302" s="186" t="s">
        <v>225</v>
      </c>
      <c r="D302" s="186" t="s">
        <v>57</v>
      </c>
      <c r="E302" s="186" t="b">
        <v>0</v>
      </c>
      <c r="F302" s="186" t="s">
        <v>27</v>
      </c>
      <c r="G302" s="186" t="s">
        <v>10</v>
      </c>
      <c r="H302" s="48" t="str">
        <f t="shared" si="10"/>
        <v>LFA|FALSE|1200to1500|DrainedAr</v>
      </c>
      <c r="I302" s="128">
        <v>0.2948682605291254</v>
      </c>
      <c r="J302" s="49">
        <v>17.831775503904751</v>
      </c>
      <c r="K302" s="28"/>
      <c r="L302" s="29"/>
      <c r="M302" s="29"/>
      <c r="N302" s="29"/>
      <c r="O302" s="29"/>
      <c r="P302" s="133"/>
    </row>
    <row r="303" spans="2:16" x14ac:dyDescent="0.35">
      <c r="B303" s="132"/>
      <c r="C303" s="186" t="s">
        <v>225</v>
      </c>
      <c r="D303" s="186" t="s">
        <v>57</v>
      </c>
      <c r="E303" s="186" t="b">
        <v>0</v>
      </c>
      <c r="F303" s="186" t="s">
        <v>27</v>
      </c>
      <c r="G303" s="186" t="s">
        <v>11</v>
      </c>
      <c r="H303" s="48" t="str">
        <f t="shared" si="10"/>
        <v>LFA|FALSE|1200to1500|DrainedArGr</v>
      </c>
      <c r="I303" s="128">
        <v>1.6761403465425098</v>
      </c>
      <c r="J303" s="49">
        <v>16.893518092354782</v>
      </c>
      <c r="K303" s="28"/>
      <c r="L303" s="29"/>
      <c r="M303" s="29"/>
      <c r="N303" s="29"/>
      <c r="O303" s="29"/>
      <c r="P303" s="133"/>
    </row>
    <row r="304" spans="2:16" x14ac:dyDescent="0.35">
      <c r="B304" s="132"/>
      <c r="C304" s="186" t="s">
        <v>225</v>
      </c>
      <c r="D304" s="186" t="s">
        <v>58</v>
      </c>
      <c r="E304" s="186" t="b">
        <v>1</v>
      </c>
      <c r="F304" s="186" t="s">
        <v>8</v>
      </c>
      <c r="G304" s="186" t="s">
        <v>9</v>
      </c>
      <c r="H304" s="48" t="str">
        <f t="shared" si="10"/>
        <v>Lowland|TRUE|600to700|FreeDrain</v>
      </c>
      <c r="I304" s="128">
        <v>7.3836731930558785E-2</v>
      </c>
      <c r="J304" s="49">
        <v>14.722014428417552</v>
      </c>
      <c r="K304" s="28"/>
      <c r="L304" s="29"/>
      <c r="M304" s="29"/>
      <c r="N304" s="29"/>
      <c r="O304" s="29"/>
      <c r="P304" s="133"/>
    </row>
    <row r="305" spans="2:16" x14ac:dyDescent="0.35">
      <c r="B305" s="132"/>
      <c r="C305" s="186" t="s">
        <v>225</v>
      </c>
      <c r="D305" s="186" t="s">
        <v>58</v>
      </c>
      <c r="E305" s="186" t="b">
        <v>1</v>
      </c>
      <c r="F305" s="186" t="s">
        <v>8</v>
      </c>
      <c r="G305" s="186" t="s">
        <v>10</v>
      </c>
      <c r="H305" s="48" t="str">
        <f t="shared" si="10"/>
        <v>Lowland|TRUE|600to700|DrainedAr</v>
      </c>
      <c r="I305" s="128">
        <v>0.11566113741303201</v>
      </c>
      <c r="J305" s="49">
        <v>9.9724962312205587</v>
      </c>
      <c r="K305" s="28"/>
      <c r="L305" s="29"/>
      <c r="M305" s="29"/>
      <c r="N305" s="29"/>
      <c r="O305" s="29"/>
      <c r="P305" s="133"/>
    </row>
    <row r="306" spans="2:16" x14ac:dyDescent="0.35">
      <c r="B306" s="132"/>
      <c r="C306" s="186" t="s">
        <v>225</v>
      </c>
      <c r="D306" s="186" t="s">
        <v>58</v>
      </c>
      <c r="E306" s="186" t="b">
        <v>1</v>
      </c>
      <c r="F306" s="186" t="s">
        <v>8</v>
      </c>
      <c r="G306" s="186" t="s">
        <v>11</v>
      </c>
      <c r="H306" s="48" t="str">
        <f t="shared" si="10"/>
        <v>Lowland|TRUE|600to700|DrainedArGr</v>
      </c>
      <c r="I306" s="128">
        <v>0.55168447242520668</v>
      </c>
      <c r="J306" s="49">
        <v>10.015379619678169</v>
      </c>
      <c r="K306" s="28"/>
      <c r="L306" s="29"/>
      <c r="M306" s="29"/>
      <c r="N306" s="29"/>
      <c r="O306" s="29"/>
      <c r="P306" s="133"/>
    </row>
    <row r="307" spans="2:16" x14ac:dyDescent="0.35">
      <c r="B307" s="132"/>
      <c r="C307" s="186" t="s">
        <v>225</v>
      </c>
      <c r="D307" s="186" t="s">
        <v>58</v>
      </c>
      <c r="E307" s="186" t="b">
        <v>0</v>
      </c>
      <c r="F307" s="186" t="s">
        <v>12</v>
      </c>
      <c r="G307" s="186" t="s">
        <v>9</v>
      </c>
      <c r="H307" s="48" t="str">
        <f t="shared" si="10"/>
        <v>Lowland|FALSE|700to900|FreeDrain</v>
      </c>
      <c r="I307" s="128">
        <v>0.12599885985731779</v>
      </c>
      <c r="J307" s="49">
        <v>21.025514513757258</v>
      </c>
      <c r="K307" s="28"/>
      <c r="L307" s="29"/>
      <c r="M307" s="29"/>
      <c r="N307" s="29"/>
      <c r="O307" s="29"/>
      <c r="P307" s="133"/>
    </row>
    <row r="308" spans="2:16" x14ac:dyDescent="0.35">
      <c r="B308" s="132"/>
      <c r="C308" s="186" t="s">
        <v>225</v>
      </c>
      <c r="D308" s="186" t="s">
        <v>58</v>
      </c>
      <c r="E308" s="186" t="b">
        <v>1</v>
      </c>
      <c r="F308" s="186" t="s">
        <v>12</v>
      </c>
      <c r="G308" s="186" t="s">
        <v>9</v>
      </c>
      <c r="H308" s="48" t="str">
        <f t="shared" si="10"/>
        <v>Lowland|TRUE|700to900|FreeDrain</v>
      </c>
      <c r="I308" s="128">
        <v>0.12599862770971393</v>
      </c>
      <c r="J308" s="49">
        <v>20.902174075226885</v>
      </c>
      <c r="K308" s="28"/>
      <c r="L308" s="29"/>
      <c r="M308" s="29"/>
      <c r="N308" s="29"/>
      <c r="O308" s="29"/>
      <c r="P308" s="133"/>
    </row>
    <row r="309" spans="2:16" x14ac:dyDescent="0.35">
      <c r="B309" s="132"/>
      <c r="C309" s="186" t="s">
        <v>225</v>
      </c>
      <c r="D309" s="186" t="s">
        <v>58</v>
      </c>
      <c r="E309" s="186" t="b">
        <v>0</v>
      </c>
      <c r="F309" s="186" t="s">
        <v>12</v>
      </c>
      <c r="G309" s="186" t="s">
        <v>10</v>
      </c>
      <c r="H309" s="48" t="str">
        <f t="shared" si="10"/>
        <v>Lowland|FALSE|700to900|DrainedAr</v>
      </c>
      <c r="I309" s="128">
        <v>0.20257499944421553</v>
      </c>
      <c r="J309" s="49">
        <v>16.333828501743376</v>
      </c>
      <c r="K309" s="28"/>
      <c r="L309" s="29"/>
      <c r="M309" s="29"/>
      <c r="N309" s="29"/>
      <c r="O309" s="29"/>
      <c r="P309" s="133"/>
    </row>
    <row r="310" spans="2:16" x14ac:dyDescent="0.35">
      <c r="B310" s="132"/>
      <c r="C310" s="186" t="s">
        <v>225</v>
      </c>
      <c r="D310" s="186" t="s">
        <v>58</v>
      </c>
      <c r="E310" s="186" t="b">
        <v>1</v>
      </c>
      <c r="F310" s="186" t="s">
        <v>12</v>
      </c>
      <c r="G310" s="186" t="s">
        <v>10</v>
      </c>
      <c r="H310" s="48" t="str">
        <f t="shared" si="10"/>
        <v>Lowland|TRUE|700to900|DrainedAr</v>
      </c>
      <c r="I310" s="128">
        <v>0.20257471142496616</v>
      </c>
      <c r="J310" s="49">
        <v>16.239220943068322</v>
      </c>
      <c r="K310" s="28"/>
      <c r="L310" s="29"/>
      <c r="M310" s="29"/>
      <c r="N310" s="29"/>
      <c r="O310" s="29"/>
      <c r="P310" s="133"/>
    </row>
    <row r="311" spans="2:16" x14ac:dyDescent="0.35">
      <c r="B311" s="132"/>
      <c r="C311" s="186" t="s">
        <v>225</v>
      </c>
      <c r="D311" s="186" t="s">
        <v>58</v>
      </c>
      <c r="E311" s="186" t="b">
        <v>0</v>
      </c>
      <c r="F311" s="186" t="s">
        <v>12</v>
      </c>
      <c r="G311" s="186" t="s">
        <v>11</v>
      </c>
      <c r="H311" s="48" t="str">
        <f t="shared" si="10"/>
        <v>Lowland|FALSE|700to900|DrainedArGr</v>
      </c>
      <c r="I311" s="128">
        <v>0.8470676150282197</v>
      </c>
      <c r="J311" s="49">
        <v>12.366779639689387</v>
      </c>
      <c r="K311" s="28"/>
      <c r="L311" s="29"/>
      <c r="M311" s="29"/>
      <c r="N311" s="29"/>
      <c r="O311" s="29"/>
      <c r="P311" s="133"/>
    </row>
    <row r="312" spans="2:16" x14ac:dyDescent="0.35">
      <c r="B312" s="132"/>
      <c r="C312" s="186" t="s">
        <v>225</v>
      </c>
      <c r="D312" s="186" t="s">
        <v>58</v>
      </c>
      <c r="E312" s="186" t="b">
        <v>1</v>
      </c>
      <c r="F312" s="186" t="s">
        <v>12</v>
      </c>
      <c r="G312" s="186" t="s">
        <v>11</v>
      </c>
      <c r="H312" s="48" t="str">
        <f t="shared" si="10"/>
        <v>Lowland|TRUE|700to900|DrainedArGr</v>
      </c>
      <c r="I312" s="128">
        <v>0.84703820243906358</v>
      </c>
      <c r="J312" s="49">
        <v>12.342481464430911</v>
      </c>
      <c r="K312" s="28"/>
      <c r="L312" s="29"/>
      <c r="M312" s="29"/>
      <c r="N312" s="29"/>
      <c r="O312" s="29"/>
      <c r="P312" s="133"/>
    </row>
    <row r="313" spans="2:16" x14ac:dyDescent="0.35">
      <c r="B313" s="132"/>
      <c r="C313" s="186" t="s">
        <v>225</v>
      </c>
      <c r="D313" s="186" t="s">
        <v>58</v>
      </c>
      <c r="E313" s="186" t="b">
        <v>0</v>
      </c>
      <c r="F313" s="186" t="s">
        <v>22</v>
      </c>
      <c r="G313" s="186" t="s">
        <v>9</v>
      </c>
      <c r="H313" s="48" t="str">
        <f t="shared" si="10"/>
        <v>Lowland|FALSE|900to1200|FreeDrain</v>
      </c>
      <c r="I313" s="128">
        <v>0.19230081731838722</v>
      </c>
      <c r="J313" s="49">
        <v>22.520812565054189</v>
      </c>
      <c r="K313" s="28"/>
      <c r="L313" s="29"/>
      <c r="M313" s="29"/>
      <c r="N313" s="29"/>
      <c r="O313" s="29"/>
      <c r="P313" s="133"/>
    </row>
    <row r="314" spans="2:16" x14ac:dyDescent="0.35">
      <c r="B314" s="132"/>
      <c r="C314" s="186" t="s">
        <v>225</v>
      </c>
      <c r="D314" s="186" t="s">
        <v>58</v>
      </c>
      <c r="E314" s="186" t="b">
        <v>1</v>
      </c>
      <c r="F314" s="186" t="s">
        <v>22</v>
      </c>
      <c r="G314" s="186" t="s">
        <v>9</v>
      </c>
      <c r="H314" s="48" t="str">
        <f t="shared" si="10"/>
        <v>Lowland|TRUE|900to1200|FreeDrain</v>
      </c>
      <c r="I314" s="128">
        <v>0.1923005208887662</v>
      </c>
      <c r="J314" s="49">
        <v>22.395295429754306</v>
      </c>
      <c r="K314" s="28"/>
      <c r="L314" s="29"/>
      <c r="M314" s="29"/>
      <c r="N314" s="29"/>
      <c r="O314" s="29"/>
      <c r="P314" s="133"/>
    </row>
    <row r="315" spans="2:16" x14ac:dyDescent="0.35">
      <c r="B315" s="132"/>
      <c r="C315" s="186" t="s">
        <v>225</v>
      </c>
      <c r="D315" s="186" t="s">
        <v>58</v>
      </c>
      <c r="E315" s="186" t="b">
        <v>0</v>
      </c>
      <c r="F315" s="186" t="s">
        <v>22</v>
      </c>
      <c r="G315" s="186" t="s">
        <v>10</v>
      </c>
      <c r="H315" s="48" t="str">
        <f t="shared" si="10"/>
        <v>Lowland|FALSE|900to1200|DrainedAr</v>
      </c>
      <c r="I315" s="128">
        <v>0.3440063237484548</v>
      </c>
      <c r="J315" s="49">
        <v>21.048301896627418</v>
      </c>
      <c r="K315" s="28"/>
      <c r="L315" s="29"/>
      <c r="M315" s="29"/>
      <c r="N315" s="29"/>
      <c r="O315" s="29"/>
      <c r="P315" s="133"/>
    </row>
    <row r="316" spans="2:16" x14ac:dyDescent="0.35">
      <c r="B316" s="132"/>
      <c r="C316" s="186" t="s">
        <v>225</v>
      </c>
      <c r="D316" s="186" t="s">
        <v>58</v>
      </c>
      <c r="E316" s="186" t="b">
        <v>0</v>
      </c>
      <c r="F316" s="186" t="s">
        <v>22</v>
      </c>
      <c r="G316" s="186" t="s">
        <v>11</v>
      </c>
      <c r="H316" s="48" t="str">
        <f t="shared" si="10"/>
        <v>Lowland|FALSE|900to1200|DrainedArGr</v>
      </c>
      <c r="I316" s="128">
        <v>1.3820570458949237</v>
      </c>
      <c r="J316" s="49">
        <v>16.428500740129635</v>
      </c>
      <c r="K316" s="28"/>
      <c r="L316" s="29"/>
      <c r="M316" s="29"/>
      <c r="N316" s="29"/>
      <c r="O316" s="29"/>
      <c r="P316" s="133"/>
    </row>
    <row r="317" spans="2:16" x14ac:dyDescent="0.35">
      <c r="B317" s="132"/>
      <c r="C317" s="186" t="s">
        <v>225</v>
      </c>
      <c r="D317" s="186" t="s">
        <v>58</v>
      </c>
      <c r="E317" s="186" t="b">
        <v>0</v>
      </c>
      <c r="F317" s="186" t="s">
        <v>27</v>
      </c>
      <c r="G317" s="186" t="s">
        <v>9</v>
      </c>
      <c r="H317" s="48" t="str">
        <f t="shared" si="10"/>
        <v>Lowland|FALSE|1200to1500|FreeDrain</v>
      </c>
      <c r="I317" s="128">
        <v>0.26478863909376565</v>
      </c>
      <c r="J317" s="49">
        <v>21.991924737534646</v>
      </c>
      <c r="K317" s="28"/>
      <c r="L317" s="29"/>
      <c r="M317" s="29"/>
      <c r="N317" s="29"/>
      <c r="O317" s="29"/>
      <c r="P317" s="133"/>
    </row>
    <row r="318" spans="2:16" x14ac:dyDescent="0.35">
      <c r="B318" s="132"/>
      <c r="C318" s="186" t="s">
        <v>225</v>
      </c>
      <c r="D318" s="186" t="s">
        <v>58</v>
      </c>
      <c r="E318" s="186" t="b">
        <v>0</v>
      </c>
      <c r="F318" s="186" t="s">
        <v>27</v>
      </c>
      <c r="G318" s="186" t="s">
        <v>10</v>
      </c>
      <c r="H318" s="48" t="str">
        <f t="shared" si="10"/>
        <v>Lowland|FALSE|1200to1500|DrainedAr</v>
      </c>
      <c r="I318" s="128">
        <v>0.53828909758555621</v>
      </c>
      <c r="J318" s="49">
        <v>23.603793171875939</v>
      </c>
      <c r="K318" s="28"/>
      <c r="L318" s="29"/>
      <c r="M318" s="29"/>
      <c r="N318" s="29"/>
      <c r="O318" s="29"/>
      <c r="P318" s="133"/>
    </row>
    <row r="319" spans="2:16" x14ac:dyDescent="0.35">
      <c r="B319" s="132"/>
      <c r="C319" s="186" t="s">
        <v>225</v>
      </c>
      <c r="D319" s="186" t="s">
        <v>59</v>
      </c>
      <c r="E319" s="186" t="b">
        <v>1</v>
      </c>
      <c r="F319" s="186" t="s">
        <v>8</v>
      </c>
      <c r="G319" s="186" t="s">
        <v>9</v>
      </c>
      <c r="H319" s="48" t="str">
        <f t="shared" si="10"/>
        <v>Mixed|TRUE|600to700|FreeDrain</v>
      </c>
      <c r="I319" s="128">
        <v>6.6856938329014751E-2</v>
      </c>
      <c r="J319" s="49">
        <v>25.719365522513982</v>
      </c>
      <c r="K319" s="28"/>
      <c r="L319" s="29"/>
      <c r="M319" s="29"/>
      <c r="N319" s="29"/>
      <c r="O319" s="29"/>
      <c r="P319" s="133"/>
    </row>
    <row r="320" spans="2:16" x14ac:dyDescent="0.35">
      <c r="B320" s="132"/>
      <c r="C320" s="186" t="s">
        <v>225</v>
      </c>
      <c r="D320" s="186" t="s">
        <v>59</v>
      </c>
      <c r="E320" s="186" t="b">
        <v>1</v>
      </c>
      <c r="F320" s="186" t="s">
        <v>8</v>
      </c>
      <c r="G320" s="186" t="s">
        <v>10</v>
      </c>
      <c r="H320" s="48" t="str">
        <f t="shared" si="10"/>
        <v>Mixed|TRUE|600to700|DrainedAr</v>
      </c>
      <c r="I320" s="128">
        <v>0.23483156826243826</v>
      </c>
      <c r="J320" s="49">
        <v>18.010803079271923</v>
      </c>
      <c r="K320" s="28"/>
      <c r="L320" s="29"/>
      <c r="M320" s="29"/>
      <c r="N320" s="29"/>
      <c r="O320" s="29"/>
      <c r="P320" s="133"/>
    </row>
    <row r="321" spans="2:16" x14ac:dyDescent="0.35">
      <c r="B321" s="132"/>
      <c r="C321" s="186" t="s">
        <v>225</v>
      </c>
      <c r="D321" s="186" t="s">
        <v>59</v>
      </c>
      <c r="E321" s="186" t="b">
        <v>1</v>
      </c>
      <c r="F321" s="186" t="s">
        <v>8</v>
      </c>
      <c r="G321" s="186" t="s">
        <v>11</v>
      </c>
      <c r="H321" s="48" t="str">
        <f t="shared" si="10"/>
        <v>Mixed|TRUE|600to700|DrainedArGr</v>
      </c>
      <c r="I321" s="128">
        <v>0.59314948320595962</v>
      </c>
      <c r="J321" s="49">
        <v>18.140081604835331</v>
      </c>
      <c r="K321" s="28"/>
      <c r="L321" s="29"/>
      <c r="M321" s="29"/>
      <c r="N321" s="29"/>
      <c r="O321" s="29"/>
      <c r="P321" s="133"/>
    </row>
    <row r="322" spans="2:16" x14ac:dyDescent="0.35">
      <c r="B322" s="132"/>
      <c r="C322" s="186" t="s">
        <v>225</v>
      </c>
      <c r="D322" s="186" t="s">
        <v>59</v>
      </c>
      <c r="E322" s="186" t="b">
        <v>0</v>
      </c>
      <c r="F322" s="186" t="s">
        <v>12</v>
      </c>
      <c r="G322" s="186" t="s">
        <v>9</v>
      </c>
      <c r="H322" s="48" t="str">
        <f t="shared" si="10"/>
        <v>Mixed|FALSE|700to900|FreeDrain</v>
      </c>
      <c r="I322" s="128">
        <v>0.15011792483927061</v>
      </c>
      <c r="J322" s="49">
        <v>32.55727663168409</v>
      </c>
      <c r="K322" s="28"/>
      <c r="L322" s="29"/>
      <c r="M322" s="29"/>
      <c r="N322" s="29"/>
      <c r="O322" s="29"/>
      <c r="P322" s="133"/>
    </row>
    <row r="323" spans="2:16" x14ac:dyDescent="0.35">
      <c r="B323" s="132"/>
      <c r="C323" s="186" t="s">
        <v>225</v>
      </c>
      <c r="D323" s="186" t="s">
        <v>59</v>
      </c>
      <c r="E323" s="186" t="b">
        <v>1</v>
      </c>
      <c r="F323" s="186" t="s">
        <v>12</v>
      </c>
      <c r="G323" s="186" t="s">
        <v>9</v>
      </c>
      <c r="H323" s="48" t="str">
        <f t="shared" si="10"/>
        <v>Mixed|TRUE|700to900|FreeDrain</v>
      </c>
      <c r="I323" s="128">
        <v>0.14973623770122471</v>
      </c>
      <c r="J323" s="49">
        <v>32.440315350168483</v>
      </c>
      <c r="K323" s="28"/>
      <c r="L323" s="29"/>
      <c r="M323" s="29"/>
      <c r="N323" s="29"/>
      <c r="O323" s="29"/>
      <c r="P323" s="133"/>
    </row>
    <row r="324" spans="2:16" x14ac:dyDescent="0.35">
      <c r="B324" s="132"/>
      <c r="C324" s="186" t="s">
        <v>225</v>
      </c>
      <c r="D324" s="186" t="s">
        <v>59</v>
      </c>
      <c r="E324" s="186" t="b">
        <v>0</v>
      </c>
      <c r="F324" s="186" t="s">
        <v>12</v>
      </c>
      <c r="G324" s="186" t="s">
        <v>10</v>
      </c>
      <c r="H324" s="48" t="str">
        <f t="shared" si="10"/>
        <v>Mixed|FALSE|700to900|DrainedAr</v>
      </c>
      <c r="I324" s="128">
        <v>0.49808295675942338</v>
      </c>
      <c r="J324" s="49">
        <v>24.747326920942555</v>
      </c>
      <c r="K324" s="28"/>
      <c r="L324" s="29"/>
      <c r="M324" s="29"/>
      <c r="N324" s="29"/>
      <c r="O324" s="29"/>
      <c r="P324" s="133"/>
    </row>
    <row r="325" spans="2:16" x14ac:dyDescent="0.35">
      <c r="B325" s="132"/>
      <c r="C325" s="186" t="s">
        <v>225</v>
      </c>
      <c r="D325" s="186" t="s">
        <v>59</v>
      </c>
      <c r="E325" s="186" t="b">
        <v>1</v>
      </c>
      <c r="F325" s="186" t="s">
        <v>12</v>
      </c>
      <c r="G325" s="186" t="s">
        <v>10</v>
      </c>
      <c r="H325" s="48" t="str">
        <f t="shared" si="10"/>
        <v>Mixed|TRUE|700to900|DrainedAr</v>
      </c>
      <c r="I325" s="128">
        <v>0.49624849124267756</v>
      </c>
      <c r="J325" s="49">
        <v>24.494846154861623</v>
      </c>
      <c r="K325" s="28"/>
      <c r="L325" s="29"/>
      <c r="M325" s="29"/>
      <c r="N325" s="29"/>
      <c r="O325" s="29"/>
      <c r="P325" s="133"/>
    </row>
    <row r="326" spans="2:16" x14ac:dyDescent="0.35">
      <c r="B326" s="132"/>
      <c r="C326" s="186" t="s">
        <v>225</v>
      </c>
      <c r="D326" s="186" t="s">
        <v>59</v>
      </c>
      <c r="E326" s="186" t="b">
        <v>0</v>
      </c>
      <c r="F326" s="186" t="s">
        <v>12</v>
      </c>
      <c r="G326" s="186" t="s">
        <v>11</v>
      </c>
      <c r="H326" s="48" t="str">
        <f t="shared" si="10"/>
        <v>Mixed|FALSE|700to900|DrainedArGr</v>
      </c>
      <c r="I326" s="128">
        <v>0.97888769212122906</v>
      </c>
      <c r="J326" s="49">
        <v>20.742157619589516</v>
      </c>
      <c r="K326" s="28"/>
      <c r="L326" s="29"/>
      <c r="M326" s="29"/>
      <c r="N326" s="29"/>
      <c r="O326" s="29"/>
      <c r="P326" s="133"/>
    </row>
    <row r="327" spans="2:16" x14ac:dyDescent="0.35">
      <c r="B327" s="132"/>
      <c r="C327" s="186" t="s">
        <v>225</v>
      </c>
      <c r="D327" s="186" t="s">
        <v>59</v>
      </c>
      <c r="E327" s="186" t="b">
        <v>1</v>
      </c>
      <c r="F327" s="186" t="s">
        <v>12</v>
      </c>
      <c r="G327" s="186" t="s">
        <v>11</v>
      </c>
      <c r="H327" s="48" t="str">
        <f t="shared" si="10"/>
        <v>Mixed|TRUE|700to900|DrainedArGr</v>
      </c>
      <c r="I327" s="128">
        <v>0.97487260163240275</v>
      </c>
      <c r="J327" s="49">
        <v>20.450720345224465</v>
      </c>
      <c r="K327" s="28"/>
      <c r="L327" s="29"/>
      <c r="M327" s="29"/>
      <c r="N327" s="29"/>
      <c r="O327" s="29"/>
      <c r="P327" s="133"/>
    </row>
    <row r="328" spans="2:16" x14ac:dyDescent="0.35">
      <c r="B328" s="132"/>
      <c r="C328" s="186" t="s">
        <v>225</v>
      </c>
      <c r="D328" s="186" t="s">
        <v>59</v>
      </c>
      <c r="E328" s="186" t="b">
        <v>0</v>
      </c>
      <c r="F328" s="186" t="s">
        <v>22</v>
      </c>
      <c r="G328" s="186" t="s">
        <v>9</v>
      </c>
      <c r="H328" s="48" t="str">
        <f t="shared" si="10"/>
        <v>Mixed|FALSE|900to1200|FreeDrain</v>
      </c>
      <c r="I328" s="128">
        <v>0.24894990963285996</v>
      </c>
      <c r="J328" s="49">
        <v>34.555565504311154</v>
      </c>
      <c r="K328" s="28"/>
      <c r="L328" s="29"/>
      <c r="M328" s="29"/>
      <c r="N328" s="29"/>
      <c r="O328" s="29"/>
      <c r="P328" s="133"/>
    </row>
    <row r="329" spans="2:16" x14ac:dyDescent="0.35">
      <c r="B329" s="132"/>
      <c r="C329" s="186" t="s">
        <v>225</v>
      </c>
      <c r="D329" s="186" t="s">
        <v>59</v>
      </c>
      <c r="E329" s="186" t="b">
        <v>1</v>
      </c>
      <c r="F329" s="186" t="s">
        <v>22</v>
      </c>
      <c r="G329" s="186" t="s">
        <v>9</v>
      </c>
      <c r="H329" s="48" t="str">
        <f t="shared" si="10"/>
        <v>Mixed|TRUE|900to1200|FreeDrain</v>
      </c>
      <c r="I329" s="128">
        <v>0.24848378338845006</v>
      </c>
      <c r="J329" s="49">
        <v>34.435653911815166</v>
      </c>
      <c r="K329" s="28"/>
      <c r="L329" s="29"/>
      <c r="M329" s="29"/>
      <c r="N329" s="29"/>
      <c r="O329" s="29"/>
      <c r="P329" s="133"/>
    </row>
    <row r="330" spans="2:16" x14ac:dyDescent="0.35">
      <c r="B330" s="132"/>
      <c r="C330" s="186" t="s">
        <v>225</v>
      </c>
      <c r="D330" s="186" t="s">
        <v>59</v>
      </c>
      <c r="E330" s="186" t="b">
        <v>0</v>
      </c>
      <c r="F330" s="186" t="s">
        <v>22</v>
      </c>
      <c r="G330" s="186" t="s">
        <v>10</v>
      </c>
      <c r="H330" s="48" t="str">
        <f t="shared" si="10"/>
        <v>Mixed|FALSE|900to1200|DrainedAr</v>
      </c>
      <c r="I330" s="128">
        <v>0.92438943355486125</v>
      </c>
      <c r="J330" s="49">
        <v>31.201101397068765</v>
      </c>
      <c r="K330" s="28"/>
      <c r="L330" s="29"/>
      <c r="M330" s="29"/>
      <c r="N330" s="29"/>
      <c r="O330" s="29"/>
      <c r="P330" s="133"/>
    </row>
    <row r="331" spans="2:16" x14ac:dyDescent="0.35">
      <c r="B331" s="132"/>
      <c r="C331" s="186" t="s">
        <v>225</v>
      </c>
      <c r="D331" s="186" t="s">
        <v>59</v>
      </c>
      <c r="E331" s="186" t="b">
        <v>0</v>
      </c>
      <c r="F331" s="186" t="s">
        <v>22</v>
      </c>
      <c r="G331" s="186" t="s">
        <v>11</v>
      </c>
      <c r="H331" s="48" t="str">
        <f t="shared" si="10"/>
        <v>Mixed|FALSE|900to1200|DrainedArGr</v>
      </c>
      <c r="I331" s="128">
        <v>1.5929078900961153</v>
      </c>
      <c r="J331" s="49">
        <v>24.669200643932072</v>
      </c>
      <c r="K331" s="28"/>
      <c r="L331" s="29"/>
      <c r="M331" s="29"/>
      <c r="N331" s="29"/>
      <c r="O331" s="29"/>
      <c r="P331" s="133"/>
    </row>
    <row r="332" spans="2:16" x14ac:dyDescent="0.35">
      <c r="B332" s="132"/>
      <c r="C332" s="186" t="s">
        <v>111</v>
      </c>
      <c r="D332" s="186" t="s">
        <v>111</v>
      </c>
      <c r="E332" s="186" t="s">
        <v>111</v>
      </c>
      <c r="F332" s="186" t="s">
        <v>111</v>
      </c>
      <c r="G332" s="208" t="s">
        <v>60</v>
      </c>
      <c r="H332" s="48" t="str">
        <f>"|"&amp;"|"&amp;"|"&amp;G332</f>
        <v>|||Greenspace</v>
      </c>
      <c r="I332" s="209">
        <v>0.02</v>
      </c>
      <c r="J332" s="38">
        <v>3</v>
      </c>
      <c r="K332" s="28"/>
      <c r="L332" s="28"/>
      <c r="M332" s="28"/>
      <c r="N332" s="28"/>
      <c r="O332" s="28"/>
      <c r="P332" s="133"/>
    </row>
    <row r="333" spans="2:16" x14ac:dyDescent="0.35">
      <c r="B333" s="132"/>
      <c r="C333" s="186" t="s">
        <v>111</v>
      </c>
      <c r="D333" s="186" t="s">
        <v>111</v>
      </c>
      <c r="E333" s="186" t="s">
        <v>111</v>
      </c>
      <c r="F333" s="186" t="s">
        <v>111</v>
      </c>
      <c r="G333" s="208" t="s">
        <v>66</v>
      </c>
      <c r="H333" s="48" t="str">
        <f>"|"&amp;"|"&amp;"|"&amp;G333</f>
        <v>|||Community food growing</v>
      </c>
      <c r="I333" s="187">
        <f>IFERROR(VLOOKUP((VLOOKUP('Stage 2'!$E$9,Lookups!$C$369:$D$370,2,FALSE)&amp;"|"&amp;"General"&amp;"|"&amp;"FALSE"&amp;"|"&amp;VLOOKUP('Stage 2'!$E$11,Lookups!$C$343:$E$365,3,FALSE)&amp;"|"&amp;"FreeDrain"),$H$52:$J$331,2,FALSE), IFERROR(VLOOKUP("General"&amp;"|"&amp;VLOOKUP('Stage 2'!$E$11,Lookups!$C$343:$E$365,3,FALSE),$K$52:$O$213,2,FALSE),VLOOKUP("General",D52:O$213,11,FALSE)))</f>
        <v>0.42207560077286743</v>
      </c>
      <c r="J333" s="188">
        <f>IFERROR(VLOOKUP((VLOOKUP('Stage 2'!$E$9,Lookups!$C$369:$D$370,2,FALSE)&amp;"|"&amp;"General"&amp;"|"&amp;"FALSE"&amp;"|"&amp;VLOOKUP('Stage 2'!$E$11,Lookups!$C$343:$E$365,3,FALSE)&amp;"|"&amp;"FreeDrain"),$H$52:$J$331,3,FALSE), IFERROR(VLOOKUP("General"&amp;"|"&amp;VLOOKUP('Stage 2'!$E$11,Lookups!$C$343:$E$365,3,FALSE),$K$52:$O$213,3,FALSE),VLOOKUP("General",D52:O$213,12,FALSE)))</f>
        <v>23.636537815224049</v>
      </c>
      <c r="K333" s="28"/>
      <c r="L333" s="28"/>
      <c r="M333" s="28"/>
      <c r="N333" s="28"/>
      <c r="O333" s="28"/>
      <c r="P333" s="133"/>
    </row>
    <row r="334" spans="2:16" x14ac:dyDescent="0.35">
      <c r="B334" s="132"/>
      <c r="C334" s="186" t="s">
        <v>111</v>
      </c>
      <c r="D334" s="186" t="s">
        <v>111</v>
      </c>
      <c r="E334" s="186" t="s">
        <v>111</v>
      </c>
      <c r="F334" s="186" t="s">
        <v>111</v>
      </c>
      <c r="G334" s="208" t="s">
        <v>61</v>
      </c>
      <c r="H334" s="48" t="str">
        <f>"|"&amp;"|"&amp;"|"&amp;G334</f>
        <v>|||Woodland</v>
      </c>
      <c r="I334" s="209">
        <v>0.02</v>
      </c>
      <c r="J334" s="38">
        <v>3</v>
      </c>
      <c r="K334" s="28"/>
      <c r="L334" s="28"/>
      <c r="M334" s="28"/>
      <c r="N334" s="28"/>
      <c r="O334" s="28"/>
      <c r="P334" s="133"/>
    </row>
    <row r="335" spans="2:16" x14ac:dyDescent="0.35">
      <c r="B335" s="132"/>
      <c r="C335" s="186" t="s">
        <v>111</v>
      </c>
      <c r="D335" s="186" t="s">
        <v>111</v>
      </c>
      <c r="E335" s="186" t="s">
        <v>111</v>
      </c>
      <c r="F335" s="186" t="s">
        <v>111</v>
      </c>
      <c r="G335" s="208" t="s">
        <v>62</v>
      </c>
      <c r="H335" s="48" t="str">
        <f>"|"&amp;"|"&amp;"|"&amp;G335</f>
        <v>|||Shrub</v>
      </c>
      <c r="I335" s="209">
        <v>0.02</v>
      </c>
      <c r="J335" s="38">
        <v>3</v>
      </c>
      <c r="K335" s="28"/>
      <c r="L335" s="28"/>
      <c r="M335" s="28"/>
      <c r="N335" s="28"/>
      <c r="O335" s="28"/>
      <c r="P335" s="133"/>
    </row>
    <row r="336" spans="2:16" x14ac:dyDescent="0.35">
      <c r="B336" s="132"/>
      <c r="C336" s="186" t="s">
        <v>111</v>
      </c>
      <c r="D336" s="186" t="s">
        <v>111</v>
      </c>
      <c r="E336" s="186" t="s">
        <v>111</v>
      </c>
      <c r="F336" s="186" t="s">
        <v>111</v>
      </c>
      <c r="G336" s="208" t="s">
        <v>63</v>
      </c>
      <c r="H336" s="48" t="str">
        <f>"|"&amp;"|"&amp;"|"&amp;G336</f>
        <v>|||Water</v>
      </c>
      <c r="I336" s="209">
        <v>0</v>
      </c>
      <c r="J336" s="38">
        <v>0</v>
      </c>
      <c r="K336" s="28"/>
      <c r="L336" s="28"/>
      <c r="M336" s="28"/>
      <c r="N336" s="28"/>
      <c r="O336" s="28"/>
      <c r="P336" s="133"/>
    </row>
    <row r="337" spans="2:16" x14ac:dyDescent="0.35">
      <c r="B337" s="132"/>
      <c r="C337" s="186" t="s">
        <v>111</v>
      </c>
      <c r="D337" s="186" t="s">
        <v>111</v>
      </c>
      <c r="E337" s="186" t="s">
        <v>111</v>
      </c>
      <c r="F337" s="186" t="s">
        <v>111</v>
      </c>
      <c r="G337" s="48" t="s">
        <v>64</v>
      </c>
      <c r="H337" s="48" t="str">
        <f t="shared" ref="H337:H339" si="11">"|"&amp;"|"&amp;"|"&amp;G337</f>
        <v>|||Residential urban land</v>
      </c>
      <c r="I337" s="128" t="e">
        <f>VLOOKUP('Stage 2'!E11,Lookups!C343:H365,6,FALSE)</f>
        <v>#N/A</v>
      </c>
      <c r="J337" s="38" t="e">
        <f>VLOOKUP('Stage 2'!E11,Lookups!C343:K365,9,FALSE)</f>
        <v>#N/A</v>
      </c>
      <c r="K337" s="28"/>
      <c r="L337" s="28"/>
      <c r="M337" s="28"/>
      <c r="N337" s="28"/>
      <c r="O337" s="28"/>
      <c r="P337" s="133"/>
    </row>
    <row r="338" spans="2:16" x14ac:dyDescent="0.35">
      <c r="B338" s="132"/>
      <c r="C338" s="186" t="s">
        <v>111</v>
      </c>
      <c r="D338" s="186" t="s">
        <v>111</v>
      </c>
      <c r="E338" s="186" t="s">
        <v>111</v>
      </c>
      <c r="F338" s="186" t="s">
        <v>111</v>
      </c>
      <c r="G338" s="48" t="s">
        <v>98</v>
      </c>
      <c r="H338" s="48" t="str">
        <f t="shared" si="11"/>
        <v>|||Commercial/industrial urban land</v>
      </c>
      <c r="I338" s="128" t="e">
        <f>VLOOKUP('Stage 2'!E11,Lookups!C343:I365,7,FALSE)</f>
        <v>#N/A</v>
      </c>
      <c r="J338" s="38" t="e">
        <f>VLOOKUP('Stage 2'!E11,Lookups!C343:M365,10,FALSE)</f>
        <v>#N/A</v>
      </c>
      <c r="K338" s="28"/>
      <c r="L338" s="28"/>
      <c r="M338" s="28"/>
      <c r="N338" s="28"/>
      <c r="O338" s="28"/>
      <c r="P338" s="133"/>
    </row>
    <row r="339" spans="2:16" x14ac:dyDescent="0.35">
      <c r="B339" s="132"/>
      <c r="C339" s="186" t="s">
        <v>111</v>
      </c>
      <c r="D339" s="186" t="s">
        <v>111</v>
      </c>
      <c r="E339" s="186" t="s">
        <v>111</v>
      </c>
      <c r="F339" s="186" t="s">
        <v>111</v>
      </c>
      <c r="G339" s="48" t="s">
        <v>65</v>
      </c>
      <c r="H339" s="48" t="str">
        <f t="shared" si="11"/>
        <v>|||Open urban land</v>
      </c>
      <c r="I339" s="128" t="e">
        <f>VLOOKUP('Stage 2'!E11,Lookups!C343:J365,8,FALSE)</f>
        <v>#N/A</v>
      </c>
      <c r="J339" s="38" t="e">
        <f>VLOOKUP('Stage 2'!E11,Lookups!C343:P365,11,FALSE)</f>
        <v>#N/A</v>
      </c>
      <c r="K339" s="28"/>
      <c r="L339" s="28"/>
      <c r="M339" s="28"/>
      <c r="N339" s="28"/>
      <c r="O339" s="28"/>
      <c r="P339" s="133"/>
    </row>
    <row r="340" spans="2:16" x14ac:dyDescent="0.35">
      <c r="B340" s="132"/>
      <c r="C340" s="28"/>
      <c r="D340" s="28"/>
      <c r="E340" s="28"/>
      <c r="F340" s="28"/>
      <c r="G340" s="28"/>
      <c r="H340" s="28"/>
      <c r="I340" s="29"/>
      <c r="J340" s="29"/>
      <c r="K340" s="28"/>
      <c r="L340" s="28"/>
      <c r="M340" s="28"/>
      <c r="N340" s="28"/>
      <c r="O340" s="28"/>
      <c r="P340" s="133"/>
    </row>
    <row r="341" spans="2:16" x14ac:dyDescent="0.35">
      <c r="B341" s="132"/>
      <c r="C341" s="28" t="s">
        <v>188</v>
      </c>
      <c r="D341" s="28"/>
      <c r="E341" s="28"/>
      <c r="F341" s="28"/>
      <c r="G341" s="28"/>
      <c r="H341" s="28"/>
      <c r="I341" s="29"/>
      <c r="J341" s="29"/>
      <c r="K341" s="28"/>
      <c r="L341" s="28"/>
      <c r="M341" s="28"/>
      <c r="N341" s="28"/>
      <c r="O341" s="28"/>
      <c r="P341" s="133"/>
    </row>
    <row r="342" spans="2:16" ht="28.5" thickBot="1" x14ac:dyDescent="0.4">
      <c r="B342" s="132"/>
      <c r="C342" s="36" t="s">
        <v>29</v>
      </c>
      <c r="D342" s="50" t="s">
        <v>112</v>
      </c>
      <c r="E342" s="50" t="s">
        <v>113</v>
      </c>
      <c r="F342" s="50" t="s">
        <v>121</v>
      </c>
      <c r="G342" s="50" t="s">
        <v>191</v>
      </c>
      <c r="H342" s="50" t="s">
        <v>118</v>
      </c>
      <c r="I342" s="50" t="s">
        <v>119</v>
      </c>
      <c r="J342" s="50" t="s">
        <v>120</v>
      </c>
      <c r="K342" s="50" t="s">
        <v>115</v>
      </c>
      <c r="L342" s="36" t="s">
        <v>116</v>
      </c>
      <c r="M342" s="130" t="s">
        <v>117</v>
      </c>
      <c r="N342" s="207"/>
      <c r="O342" s="207"/>
      <c r="P342" s="133"/>
    </row>
    <row r="343" spans="2:16" ht="15" thickTop="1" x14ac:dyDescent="0.35">
      <c r="B343" s="132"/>
      <c r="C343" s="51" t="s">
        <v>30</v>
      </c>
      <c r="D343" s="187">
        <v>516.5</v>
      </c>
      <c r="E343" s="53" t="s">
        <v>114</v>
      </c>
      <c r="F343" s="187">
        <v>47.366326420209788</v>
      </c>
      <c r="G343" s="187">
        <v>63.946326420209786</v>
      </c>
      <c r="H343" s="187">
        <v>1.0030530114375726</v>
      </c>
      <c r="I343" s="187">
        <v>0.73394122788115068</v>
      </c>
      <c r="J343" s="187">
        <v>0.5382235671128438</v>
      </c>
      <c r="K343" s="187">
        <v>9.4130591148709328</v>
      </c>
      <c r="L343" s="189">
        <v>5.0202981945978298</v>
      </c>
      <c r="M343" s="188">
        <v>5.5487506361344439</v>
      </c>
      <c r="N343" s="190"/>
      <c r="O343" s="190"/>
      <c r="P343" s="133"/>
    </row>
    <row r="344" spans="2:16" x14ac:dyDescent="0.35">
      <c r="B344" s="132"/>
      <c r="C344" s="51" t="s">
        <v>31</v>
      </c>
      <c r="D344" s="187">
        <v>537.54999999999995</v>
      </c>
      <c r="E344" s="53" t="s">
        <v>114</v>
      </c>
      <c r="F344" s="187">
        <v>47.605509573313697</v>
      </c>
      <c r="G344" s="187">
        <v>64.185509573313695</v>
      </c>
      <c r="H344" s="187">
        <v>1.049204008516526</v>
      </c>
      <c r="I344" s="187">
        <v>0.76771025013404326</v>
      </c>
      <c r="J344" s="187">
        <v>0.56298751676496517</v>
      </c>
      <c r="K344" s="187">
        <v>9.8333323912734105</v>
      </c>
      <c r="L344" s="189">
        <v>5.2444439420124853</v>
      </c>
      <c r="M344" s="188">
        <v>5.7964906727506413</v>
      </c>
      <c r="N344" s="190"/>
      <c r="O344" s="190"/>
      <c r="P344" s="133"/>
    </row>
    <row r="345" spans="2:16" x14ac:dyDescent="0.35">
      <c r="B345" s="132"/>
      <c r="C345" s="51" t="s">
        <v>33</v>
      </c>
      <c r="D345" s="187">
        <v>562.54999999999995</v>
      </c>
      <c r="E345" s="53" t="s">
        <v>114</v>
      </c>
      <c r="F345" s="187">
        <v>47.8624816470968</v>
      </c>
      <c r="G345" s="187">
        <v>64.442481647096798</v>
      </c>
      <c r="H345" s="187">
        <v>1.1039266010735462</v>
      </c>
      <c r="I345" s="187">
        <v>0.80775117151722908</v>
      </c>
      <c r="J345" s="187">
        <v>0.59235085911263463</v>
      </c>
      <c r="K345" s="187">
        <v>10.331853644413675</v>
      </c>
      <c r="L345" s="189">
        <v>5.5103219436872939</v>
      </c>
      <c r="M345" s="188">
        <v>6.0903558324964822</v>
      </c>
      <c r="N345" s="190"/>
      <c r="O345" s="190"/>
      <c r="P345" s="133"/>
    </row>
    <row r="346" spans="2:16" x14ac:dyDescent="0.35">
      <c r="B346" s="132"/>
      <c r="C346" s="51" t="s">
        <v>34</v>
      </c>
      <c r="D346" s="187">
        <v>587.54999999999995</v>
      </c>
      <c r="E346" s="53" t="s">
        <v>114</v>
      </c>
      <c r="F346" s="187">
        <v>48.089720428979902</v>
      </c>
      <c r="G346" s="187">
        <v>64.6697204289799</v>
      </c>
      <c r="H346" s="187">
        <v>1.1584597247599329</v>
      </c>
      <c r="I346" s="187">
        <v>0.84765345714141427</v>
      </c>
      <c r="J346" s="187">
        <v>0.62161253523703719</v>
      </c>
      <c r="K346" s="187">
        <v>10.829057857843434</v>
      </c>
      <c r="L346" s="189">
        <v>5.775497524183165</v>
      </c>
      <c r="M346" s="188">
        <v>6.3834446319919191</v>
      </c>
      <c r="N346" s="190"/>
      <c r="O346" s="190"/>
      <c r="P346" s="133"/>
    </row>
    <row r="347" spans="2:16" x14ac:dyDescent="0.35">
      <c r="B347" s="132"/>
      <c r="C347" s="51" t="s">
        <v>35</v>
      </c>
      <c r="D347" s="187">
        <v>612.54999999999995</v>
      </c>
      <c r="E347" s="53" t="s">
        <v>8</v>
      </c>
      <c r="F347" s="187">
        <v>48.286892468962989</v>
      </c>
      <c r="G347" s="187">
        <v>64.866892468962988</v>
      </c>
      <c r="H347" s="187">
        <v>1.2127035752563942</v>
      </c>
      <c r="I347" s="187">
        <v>0.88734407945589822</v>
      </c>
      <c r="J347" s="187">
        <v>0.650718991600992</v>
      </c>
      <c r="K347" s="187">
        <v>11.324251269831036</v>
      </c>
      <c r="L347" s="189">
        <v>6.0396006772432189</v>
      </c>
      <c r="M347" s="188">
        <v>6.6753481169530309</v>
      </c>
      <c r="N347" s="190"/>
      <c r="O347" s="190"/>
      <c r="P347" s="133"/>
    </row>
    <row r="348" spans="2:16" x14ac:dyDescent="0.35">
      <c r="B348" s="132"/>
      <c r="C348" s="51" t="s">
        <v>36</v>
      </c>
      <c r="D348" s="187">
        <v>637.54999999999995</v>
      </c>
      <c r="E348" s="53" t="s">
        <v>8</v>
      </c>
      <c r="F348" s="187">
        <v>48.453664317046091</v>
      </c>
      <c r="G348" s="187">
        <v>65.033664317046089</v>
      </c>
      <c r="H348" s="187">
        <v>1.2665569810986419</v>
      </c>
      <c r="I348" s="187">
        <v>0.92674901055998193</v>
      </c>
      <c r="J348" s="187">
        <v>0.67961594107732015</v>
      </c>
      <c r="K348" s="187">
        <v>11.816730615319829</v>
      </c>
      <c r="L348" s="189">
        <v>6.302256328170575</v>
      </c>
      <c r="M348" s="188">
        <v>6.9656517311358979</v>
      </c>
      <c r="N348" s="190"/>
      <c r="O348" s="190"/>
      <c r="P348" s="133"/>
    </row>
    <row r="349" spans="2:16" x14ac:dyDescent="0.35">
      <c r="B349" s="132"/>
      <c r="C349" s="51" t="s">
        <v>37</v>
      </c>
      <c r="D349" s="187">
        <v>662.55</v>
      </c>
      <c r="E349" s="53" t="s">
        <v>8</v>
      </c>
      <c r="F349" s="187">
        <v>48.589702523229192</v>
      </c>
      <c r="G349" s="187">
        <v>65.169702523229191</v>
      </c>
      <c r="H349" s="187">
        <v>1.3199174036773855</v>
      </c>
      <c r="I349" s="187">
        <v>0.96579322220296504</v>
      </c>
      <c r="J349" s="187">
        <v>0.70824836294884108</v>
      </c>
      <c r="K349" s="187">
        <v>12.305783125928167</v>
      </c>
      <c r="L349" s="189">
        <v>6.5630843338283551</v>
      </c>
      <c r="M349" s="188">
        <v>7.2539353163366025</v>
      </c>
      <c r="N349" s="190"/>
      <c r="O349" s="190"/>
      <c r="P349" s="133"/>
    </row>
    <row r="350" spans="2:16" x14ac:dyDescent="0.35">
      <c r="B350" s="132"/>
      <c r="C350" s="51" t="s">
        <v>38</v>
      </c>
      <c r="D350" s="187">
        <v>687.55</v>
      </c>
      <c r="E350" s="53" t="s">
        <v>8</v>
      </c>
      <c r="F350" s="187">
        <v>48.694673637512295</v>
      </c>
      <c r="G350" s="187">
        <v>65.274673637512294</v>
      </c>
      <c r="H350" s="187">
        <v>1.3726809372383346</v>
      </c>
      <c r="I350" s="187">
        <v>1.0044006857841474</v>
      </c>
      <c r="J350" s="187">
        <v>0.73656050290837471</v>
      </c>
      <c r="K350" s="187">
        <v>12.790686529949399</v>
      </c>
      <c r="L350" s="189">
        <v>6.82169948263968</v>
      </c>
      <c r="M350" s="188">
        <v>7.5397731123912237</v>
      </c>
      <c r="N350" s="190"/>
      <c r="O350" s="190"/>
      <c r="P350" s="133"/>
    </row>
    <row r="351" spans="2:16" x14ac:dyDescent="0.35">
      <c r="B351" s="132"/>
      <c r="C351" s="51" t="s">
        <v>39</v>
      </c>
      <c r="D351" s="187">
        <v>725.05</v>
      </c>
      <c r="E351" s="53" t="s">
        <v>12</v>
      </c>
      <c r="F351" s="187">
        <v>48.793150089749446</v>
      </c>
      <c r="G351" s="187">
        <v>65.373150089749444</v>
      </c>
      <c r="H351" s="187">
        <v>1.4504764123754863</v>
      </c>
      <c r="I351" s="187">
        <v>1.0613242041771849</v>
      </c>
      <c r="J351" s="187">
        <v>0.77830441639660242</v>
      </c>
      <c r="K351" s="187">
        <v>13.508658704683258</v>
      </c>
      <c r="L351" s="189">
        <v>7.20461797583107</v>
      </c>
      <c r="M351" s="188">
        <v>7.9629988153922353</v>
      </c>
      <c r="N351" s="190"/>
      <c r="O351" s="190"/>
      <c r="P351" s="133"/>
    </row>
    <row r="352" spans="2:16" x14ac:dyDescent="0.35">
      <c r="B352" s="132"/>
      <c r="C352" s="51" t="s">
        <v>40</v>
      </c>
      <c r="D352" s="187">
        <v>775.05</v>
      </c>
      <c r="E352" s="53" t="s">
        <v>12</v>
      </c>
      <c r="F352" s="187">
        <v>48.817999999999984</v>
      </c>
      <c r="G352" s="187">
        <v>65.397999999999982</v>
      </c>
      <c r="H352" s="187">
        <v>1.5512920268999992</v>
      </c>
      <c r="I352" s="187">
        <v>1.1350917269999994</v>
      </c>
      <c r="J352" s="187">
        <v>0.83240059979999959</v>
      </c>
      <c r="K352" s="187">
        <v>14.445715171499996</v>
      </c>
      <c r="L352" s="189">
        <v>7.7043814247999975</v>
      </c>
      <c r="M352" s="188">
        <v>8.5153689431999986</v>
      </c>
      <c r="N352" s="190"/>
      <c r="O352" s="190"/>
      <c r="P352" s="133"/>
    </row>
    <row r="353" spans="2:16" x14ac:dyDescent="0.35">
      <c r="B353" s="132"/>
      <c r="C353" s="51" t="s">
        <v>41</v>
      </c>
      <c r="D353" s="187">
        <v>825.05</v>
      </c>
      <c r="E353" s="53" t="s">
        <v>12</v>
      </c>
      <c r="F353" s="187">
        <v>48.817999999999984</v>
      </c>
      <c r="G353" s="187">
        <v>65.397999999999982</v>
      </c>
      <c r="H353" s="187">
        <v>1.6513689268999994</v>
      </c>
      <c r="I353" s="187">
        <v>1.2083187269999995</v>
      </c>
      <c r="J353" s="187">
        <v>0.88610039979999966</v>
      </c>
      <c r="K353" s="187">
        <v>15.377636671499994</v>
      </c>
      <c r="L353" s="189">
        <v>8.2014062247999959</v>
      </c>
      <c r="M353" s="188">
        <v>9.064712143199996</v>
      </c>
      <c r="N353" s="190"/>
      <c r="O353" s="190"/>
      <c r="P353" s="133"/>
    </row>
    <row r="354" spans="2:16" x14ac:dyDescent="0.35">
      <c r="B354" s="132"/>
      <c r="C354" s="51" t="s">
        <v>43</v>
      </c>
      <c r="D354" s="187">
        <v>875.05</v>
      </c>
      <c r="E354" s="53" t="s">
        <v>12</v>
      </c>
      <c r="F354" s="187">
        <v>48.817999999999984</v>
      </c>
      <c r="G354" s="187">
        <v>65.397999999999982</v>
      </c>
      <c r="H354" s="187">
        <v>1.7514458268999995</v>
      </c>
      <c r="I354" s="187">
        <v>1.2815457269999997</v>
      </c>
      <c r="J354" s="187">
        <v>0.93980019979999974</v>
      </c>
      <c r="K354" s="187">
        <v>16.309558171499994</v>
      </c>
      <c r="L354" s="189">
        <v>8.6984310247999979</v>
      </c>
      <c r="M354" s="188">
        <v>9.6140553431999969</v>
      </c>
      <c r="N354" s="190"/>
      <c r="O354" s="190"/>
      <c r="P354" s="133"/>
    </row>
    <row r="355" spans="2:16" x14ac:dyDescent="0.35">
      <c r="B355" s="132"/>
      <c r="C355" s="51" t="s">
        <v>44</v>
      </c>
      <c r="D355" s="187">
        <v>925.05</v>
      </c>
      <c r="E355" s="53" t="s">
        <v>22</v>
      </c>
      <c r="F355" s="187">
        <v>48.817999999999984</v>
      </c>
      <c r="G355" s="187">
        <v>65.397999999999982</v>
      </c>
      <c r="H355" s="187">
        <v>1.851522726899999</v>
      </c>
      <c r="I355" s="187">
        <v>1.3547727269999992</v>
      </c>
      <c r="J355" s="187">
        <v>0.99349999979999948</v>
      </c>
      <c r="K355" s="187">
        <v>17.241479671499995</v>
      </c>
      <c r="L355" s="189">
        <v>9.1954558247999962</v>
      </c>
      <c r="M355" s="188">
        <v>10.163398543199996</v>
      </c>
      <c r="N355" s="190"/>
      <c r="O355" s="190"/>
      <c r="P355" s="133"/>
    </row>
    <row r="356" spans="2:16" x14ac:dyDescent="0.35">
      <c r="B356" s="132"/>
      <c r="C356" s="51" t="s">
        <v>45</v>
      </c>
      <c r="D356" s="187">
        <v>975.05</v>
      </c>
      <c r="E356" s="53" t="s">
        <v>22</v>
      </c>
      <c r="F356" s="187">
        <v>48.817999999999984</v>
      </c>
      <c r="G356" s="187">
        <v>65.397999999999982</v>
      </c>
      <c r="H356" s="187">
        <v>1.9515996268999991</v>
      </c>
      <c r="I356" s="187">
        <v>1.4279997269999993</v>
      </c>
      <c r="J356" s="187">
        <v>1.0471997997999996</v>
      </c>
      <c r="K356" s="187">
        <v>18.173401171499993</v>
      </c>
      <c r="L356" s="189">
        <v>9.6924806247999964</v>
      </c>
      <c r="M356" s="188">
        <v>10.712741743199995</v>
      </c>
      <c r="N356" s="190"/>
      <c r="O356" s="190"/>
      <c r="P356" s="133"/>
    </row>
    <row r="357" spans="2:16" x14ac:dyDescent="0.35">
      <c r="B357" s="132"/>
      <c r="C357" s="51" t="s">
        <v>46</v>
      </c>
      <c r="D357" s="187">
        <v>1050.05</v>
      </c>
      <c r="E357" s="53" t="s">
        <v>22</v>
      </c>
      <c r="F357" s="187">
        <v>48.817999999999984</v>
      </c>
      <c r="G357" s="187">
        <v>65.397999999999982</v>
      </c>
      <c r="H357" s="187">
        <v>2.101714976899999</v>
      </c>
      <c r="I357" s="187">
        <v>1.5378402269999993</v>
      </c>
      <c r="J357" s="187">
        <v>1.1277494997999997</v>
      </c>
      <c r="K357" s="187">
        <v>19.571283421499995</v>
      </c>
      <c r="L357" s="189">
        <v>10.438017824799996</v>
      </c>
      <c r="M357" s="188">
        <v>11.536756543199996</v>
      </c>
      <c r="N357" s="190"/>
      <c r="O357" s="190"/>
      <c r="P357" s="133"/>
    </row>
    <row r="358" spans="2:16" x14ac:dyDescent="0.35">
      <c r="B358" s="132"/>
      <c r="C358" s="51" t="s">
        <v>48</v>
      </c>
      <c r="D358" s="187">
        <v>1150.05</v>
      </c>
      <c r="E358" s="53" t="s">
        <v>22</v>
      </c>
      <c r="F358" s="187">
        <v>48.817999999999984</v>
      </c>
      <c r="G358" s="187">
        <v>65.397999999999982</v>
      </c>
      <c r="H358" s="187">
        <v>2.3018687768999988</v>
      </c>
      <c r="I358" s="187">
        <v>1.6842942269999992</v>
      </c>
      <c r="J358" s="187">
        <v>1.2351490997999994</v>
      </c>
      <c r="K358" s="187">
        <v>21.435126421499994</v>
      </c>
      <c r="L358" s="189">
        <v>11.432067424799996</v>
      </c>
      <c r="M358" s="188">
        <v>12.635442943199996</v>
      </c>
      <c r="N358" s="190"/>
      <c r="O358" s="190"/>
      <c r="P358" s="133"/>
    </row>
    <row r="359" spans="2:16" x14ac:dyDescent="0.35">
      <c r="B359" s="132"/>
      <c r="C359" s="51" t="s">
        <v>49</v>
      </c>
      <c r="D359" s="187">
        <v>1300.05</v>
      </c>
      <c r="E359" s="53" t="s">
        <v>27</v>
      </c>
      <c r="F359" s="187">
        <v>48.817999999999984</v>
      </c>
      <c r="G359" s="187">
        <v>65.397999999999982</v>
      </c>
      <c r="H359" s="187">
        <v>2.602099476899999</v>
      </c>
      <c r="I359" s="187">
        <v>1.9039752269999992</v>
      </c>
      <c r="J359" s="187">
        <v>1.3962484997999995</v>
      </c>
      <c r="K359" s="187">
        <v>24.230890921499991</v>
      </c>
      <c r="L359" s="189">
        <v>12.923141824799995</v>
      </c>
      <c r="M359" s="188">
        <v>14.283472543199993</v>
      </c>
      <c r="N359" s="190"/>
      <c r="O359" s="190"/>
      <c r="P359" s="133"/>
    </row>
    <row r="360" spans="2:16" x14ac:dyDescent="0.35">
      <c r="B360" s="132"/>
      <c r="C360" s="51" t="s">
        <v>50</v>
      </c>
      <c r="D360" s="187">
        <v>1500.05</v>
      </c>
      <c r="E360" s="53" t="s">
        <v>27</v>
      </c>
      <c r="F360" s="187">
        <v>48.817999999999984</v>
      </c>
      <c r="G360" s="187">
        <v>65.397999999999982</v>
      </c>
      <c r="H360" s="187">
        <v>3.0024070768999986</v>
      </c>
      <c r="I360" s="187">
        <v>2.1968832269999989</v>
      </c>
      <c r="J360" s="187">
        <v>1.6110476997999994</v>
      </c>
      <c r="K360" s="187">
        <v>27.95857692149999</v>
      </c>
      <c r="L360" s="189">
        <v>14.911241024799995</v>
      </c>
      <c r="M360" s="188">
        <v>16.480845343199995</v>
      </c>
      <c r="N360" s="190"/>
      <c r="O360" s="190"/>
      <c r="P360" s="133"/>
    </row>
    <row r="361" spans="2:16" x14ac:dyDescent="0.35">
      <c r="B361" s="132"/>
      <c r="C361" s="51" t="s">
        <v>51</v>
      </c>
      <c r="D361" s="187">
        <v>1800.05</v>
      </c>
      <c r="E361" s="53" t="s">
        <v>28</v>
      </c>
      <c r="F361" s="187">
        <v>48.817999999999984</v>
      </c>
      <c r="G361" s="187">
        <v>65.397999999999982</v>
      </c>
      <c r="H361" s="187">
        <v>3.6028684768999981</v>
      </c>
      <c r="I361" s="187">
        <v>2.6362452269999985</v>
      </c>
      <c r="J361" s="187">
        <v>1.9332464997999992</v>
      </c>
      <c r="K361" s="187">
        <v>33.550105921499991</v>
      </c>
      <c r="L361" s="189">
        <v>17.893389824799996</v>
      </c>
      <c r="M361" s="188">
        <v>19.776904543199993</v>
      </c>
      <c r="N361" s="190"/>
      <c r="O361" s="190"/>
      <c r="P361" s="133"/>
    </row>
    <row r="362" spans="2:16" x14ac:dyDescent="0.35">
      <c r="B362" s="132"/>
      <c r="C362" s="51" t="s">
        <v>52</v>
      </c>
      <c r="D362" s="187">
        <v>2200.0500000000002</v>
      </c>
      <c r="E362" s="53" t="s">
        <v>28</v>
      </c>
      <c r="F362" s="187">
        <v>48.817999999999984</v>
      </c>
      <c r="G362" s="187">
        <v>65.397999999999982</v>
      </c>
      <c r="H362" s="187">
        <v>4.4034836768999988</v>
      </c>
      <c r="I362" s="187">
        <v>3.2220612269999993</v>
      </c>
      <c r="J362" s="187">
        <v>2.3628448997999998</v>
      </c>
      <c r="K362" s="187">
        <v>41.005477921499988</v>
      </c>
      <c r="L362" s="189">
        <v>21.869588224799994</v>
      </c>
      <c r="M362" s="188">
        <v>24.17165014319999</v>
      </c>
      <c r="N362" s="190"/>
      <c r="O362" s="190"/>
      <c r="P362" s="133"/>
    </row>
    <row r="363" spans="2:16" x14ac:dyDescent="0.35">
      <c r="B363" s="132"/>
      <c r="C363" s="51" t="s">
        <v>53</v>
      </c>
      <c r="D363" s="187">
        <v>2700.05</v>
      </c>
      <c r="E363" s="53" t="s">
        <v>28</v>
      </c>
      <c r="F363" s="187">
        <v>48.817999999999984</v>
      </c>
      <c r="G363" s="187">
        <v>65.397999999999982</v>
      </c>
      <c r="H363" s="187">
        <v>5.4042526768999988</v>
      </c>
      <c r="I363" s="187">
        <v>3.9543312269999986</v>
      </c>
      <c r="J363" s="187">
        <v>2.8998428997999994</v>
      </c>
      <c r="K363" s="187">
        <v>50.324692921499988</v>
      </c>
      <c r="L363" s="189">
        <v>26.839836224799992</v>
      </c>
      <c r="M363" s="188">
        <v>29.665082143199992</v>
      </c>
      <c r="N363" s="190"/>
      <c r="O363" s="190"/>
      <c r="P363" s="133"/>
    </row>
    <row r="364" spans="2:16" x14ac:dyDescent="0.35">
      <c r="B364" s="132"/>
      <c r="C364" s="51" t="s">
        <v>54</v>
      </c>
      <c r="D364" s="187">
        <v>3500.05</v>
      </c>
      <c r="E364" s="53" t="s">
        <v>28</v>
      </c>
      <c r="F364" s="187">
        <v>48.817999999999984</v>
      </c>
      <c r="G364" s="187">
        <v>65.397999999999982</v>
      </c>
      <c r="H364" s="187">
        <v>7.0054830768999983</v>
      </c>
      <c r="I364" s="187">
        <v>5.1259632269999988</v>
      </c>
      <c r="J364" s="187">
        <v>3.7590396997999993</v>
      </c>
      <c r="K364" s="187">
        <v>65.235436921499982</v>
      </c>
      <c r="L364" s="189">
        <v>34.792233024799991</v>
      </c>
      <c r="M364" s="188">
        <v>38.454573343199982</v>
      </c>
      <c r="N364" s="190"/>
      <c r="O364" s="190"/>
      <c r="P364" s="133"/>
    </row>
    <row r="365" spans="2:16" x14ac:dyDescent="0.35">
      <c r="B365" s="132"/>
      <c r="C365" s="51" t="s">
        <v>56</v>
      </c>
      <c r="D365" s="187">
        <v>4750.05</v>
      </c>
      <c r="E365" s="53" t="s">
        <v>28</v>
      </c>
      <c r="F365" s="187">
        <v>48.817999999999984</v>
      </c>
      <c r="G365" s="187">
        <v>65.397999999999982</v>
      </c>
      <c r="H365" s="187">
        <v>9.5074055768999965</v>
      </c>
      <c r="I365" s="187">
        <v>6.9566382269999973</v>
      </c>
      <c r="J365" s="187">
        <v>5.1015346997999984</v>
      </c>
      <c r="K365" s="187">
        <v>88.533474421499989</v>
      </c>
      <c r="L365" s="189">
        <v>47.217853024799986</v>
      </c>
      <c r="M365" s="188">
        <v>52.188153343199986</v>
      </c>
      <c r="N365" s="190"/>
      <c r="O365" s="190"/>
      <c r="P365" s="133"/>
    </row>
    <row r="366" spans="2:16" x14ac:dyDescent="0.35">
      <c r="B366" s="132"/>
      <c r="C366" s="28"/>
      <c r="D366" s="28"/>
      <c r="E366" s="28"/>
      <c r="F366" s="28"/>
      <c r="G366" s="28"/>
      <c r="H366" s="28"/>
      <c r="I366" s="29"/>
      <c r="J366" s="29"/>
      <c r="K366" s="28"/>
      <c r="L366" s="28"/>
      <c r="M366" s="28"/>
      <c r="N366" s="28"/>
      <c r="O366" s="28"/>
      <c r="P366" s="133"/>
    </row>
    <row r="367" spans="2:16" x14ac:dyDescent="0.35">
      <c r="B367" s="132"/>
      <c r="C367" s="28" t="s">
        <v>125</v>
      </c>
      <c r="D367" s="28"/>
      <c r="E367" s="28"/>
      <c r="F367" s="28"/>
      <c r="G367" s="28" t="s">
        <v>127</v>
      </c>
      <c r="H367" s="28"/>
      <c r="I367" s="28" t="s">
        <v>128</v>
      </c>
      <c r="J367" s="29"/>
      <c r="K367" s="28"/>
      <c r="L367" s="28"/>
      <c r="M367" s="28"/>
      <c r="N367" s="28"/>
      <c r="O367" s="28"/>
      <c r="P367" s="133"/>
    </row>
    <row r="368" spans="2:16" ht="15" thickBot="1" x14ac:dyDescent="0.4">
      <c r="B368" s="132"/>
      <c r="C368" s="36" t="s">
        <v>5</v>
      </c>
      <c r="D368" s="44" t="s">
        <v>6</v>
      </c>
      <c r="E368" s="28"/>
      <c r="F368" s="28"/>
      <c r="G368" s="39" t="s">
        <v>123</v>
      </c>
      <c r="H368" s="28"/>
      <c r="I368" s="39" t="s">
        <v>223</v>
      </c>
      <c r="J368" s="29"/>
      <c r="K368" s="28"/>
      <c r="L368" s="28"/>
      <c r="M368" s="28"/>
      <c r="N368" s="28"/>
      <c r="O368" s="28"/>
      <c r="P368" s="133"/>
    </row>
    <row r="369" spans="2:16" ht="15" thickTop="1" x14ac:dyDescent="0.35">
      <c r="B369" s="132"/>
      <c r="C369" s="186" t="s">
        <v>283</v>
      </c>
      <c r="D369" s="45" t="s">
        <v>283</v>
      </c>
      <c r="E369" s="28"/>
      <c r="F369" s="28"/>
      <c r="G369" s="40" t="s">
        <v>7</v>
      </c>
      <c r="H369" s="28"/>
      <c r="I369" s="40" t="s">
        <v>7</v>
      </c>
      <c r="J369" s="29"/>
      <c r="K369" s="28"/>
      <c r="L369" s="28"/>
      <c r="M369" s="28"/>
      <c r="N369" s="28"/>
      <c r="O369" s="28"/>
      <c r="P369" s="133"/>
    </row>
    <row r="370" spans="2:16" x14ac:dyDescent="0.35">
      <c r="B370" s="132"/>
      <c r="C370" s="37" t="s">
        <v>221</v>
      </c>
      <c r="D370" s="45" t="s">
        <v>221</v>
      </c>
      <c r="E370" s="28"/>
      <c r="F370" s="28"/>
      <c r="G370" s="41" t="s">
        <v>25</v>
      </c>
      <c r="H370" s="28"/>
      <c r="I370" s="41" t="s">
        <v>25</v>
      </c>
      <c r="J370" s="29"/>
      <c r="K370" s="28"/>
      <c r="L370" s="28"/>
      <c r="M370" s="28"/>
      <c r="N370" s="28"/>
      <c r="O370" s="28"/>
      <c r="P370" s="133"/>
    </row>
    <row r="371" spans="2:16" x14ac:dyDescent="0.35">
      <c r="B371" s="132"/>
      <c r="C371" s="28"/>
      <c r="D371" s="28"/>
      <c r="E371" s="28"/>
      <c r="F371" s="28"/>
      <c r="G371" s="41" t="s">
        <v>32</v>
      </c>
      <c r="H371" s="28"/>
      <c r="I371" s="41" t="s">
        <v>32</v>
      </c>
      <c r="J371" s="29"/>
      <c r="K371" s="28"/>
      <c r="L371" s="28"/>
      <c r="M371" s="28"/>
      <c r="N371" s="28"/>
      <c r="O371" s="28"/>
      <c r="P371" s="133"/>
    </row>
    <row r="372" spans="2:16" x14ac:dyDescent="0.35">
      <c r="B372" s="132"/>
      <c r="C372" s="28"/>
      <c r="D372" s="28"/>
      <c r="E372" s="28"/>
      <c r="F372" s="28"/>
      <c r="G372" s="41" t="s">
        <v>42</v>
      </c>
      <c r="H372" s="28"/>
      <c r="I372" s="180" t="s">
        <v>42</v>
      </c>
      <c r="J372" s="28"/>
      <c r="K372" s="28"/>
      <c r="L372" s="28"/>
      <c r="M372" s="28"/>
      <c r="N372" s="28"/>
      <c r="O372" s="28"/>
      <c r="P372" s="133"/>
    </row>
    <row r="373" spans="2:16" x14ac:dyDescent="0.35">
      <c r="B373" s="132"/>
      <c r="C373" s="28" t="s">
        <v>124</v>
      </c>
      <c r="D373" s="28"/>
      <c r="E373" s="28"/>
      <c r="F373" s="28"/>
      <c r="G373" s="41" t="s">
        <v>47</v>
      </c>
      <c r="H373" s="31"/>
      <c r="I373" s="41" t="s">
        <v>47</v>
      </c>
      <c r="J373" s="28"/>
      <c r="K373" s="28"/>
      <c r="L373" s="28"/>
      <c r="M373" s="28"/>
      <c r="N373" s="28"/>
      <c r="O373" s="28"/>
      <c r="P373" s="133"/>
    </row>
    <row r="374" spans="2:16" ht="15" thickBot="1" x14ac:dyDescent="0.4">
      <c r="B374" s="132"/>
      <c r="C374" s="35" t="s">
        <v>13</v>
      </c>
      <c r="D374" s="34" t="s">
        <v>14</v>
      </c>
      <c r="E374" s="46" t="s">
        <v>15</v>
      </c>
      <c r="F374" s="28"/>
      <c r="G374" s="41" t="s">
        <v>55</v>
      </c>
      <c r="H374" s="28"/>
      <c r="I374" s="41" t="s">
        <v>55</v>
      </c>
      <c r="J374" s="28"/>
      <c r="K374" s="28"/>
      <c r="L374" s="28"/>
      <c r="M374" s="28"/>
      <c r="N374" s="28"/>
      <c r="O374" s="28"/>
      <c r="P374" s="133"/>
    </row>
    <row r="375" spans="2:16" ht="15" thickTop="1" x14ac:dyDescent="0.35">
      <c r="B375" s="132"/>
      <c r="C375" s="47" t="s">
        <v>16</v>
      </c>
      <c r="D375" s="48" t="s">
        <v>9</v>
      </c>
      <c r="E375" s="45" t="s">
        <v>17</v>
      </c>
      <c r="F375" s="28"/>
      <c r="G375" s="41" t="s">
        <v>57</v>
      </c>
      <c r="H375" s="28"/>
      <c r="I375" s="41" t="s">
        <v>57</v>
      </c>
      <c r="J375" s="28"/>
      <c r="K375" s="28"/>
      <c r="L375" s="28"/>
      <c r="M375" s="28"/>
      <c r="N375" s="28"/>
      <c r="O375" s="28"/>
      <c r="P375" s="133"/>
    </row>
    <row r="376" spans="2:16" x14ac:dyDescent="0.35">
      <c r="B376" s="132"/>
      <c r="C376" s="47" t="s">
        <v>18</v>
      </c>
      <c r="D376" s="48" t="s">
        <v>10</v>
      </c>
      <c r="E376" s="45" t="s">
        <v>19</v>
      </c>
      <c r="F376" s="28"/>
      <c r="G376" s="41" t="s">
        <v>58</v>
      </c>
      <c r="H376" s="28"/>
      <c r="I376" s="41" t="s">
        <v>58</v>
      </c>
      <c r="J376" s="28"/>
      <c r="K376" s="28"/>
      <c r="L376" s="28"/>
      <c r="M376" s="28"/>
      <c r="N376" s="28"/>
      <c r="O376" s="28"/>
      <c r="P376" s="133"/>
    </row>
    <row r="377" spans="2:16" x14ac:dyDescent="0.35">
      <c r="B377" s="132"/>
      <c r="C377" s="47" t="s">
        <v>20</v>
      </c>
      <c r="D377" s="48" t="s">
        <v>11</v>
      </c>
      <c r="E377" s="45" t="s">
        <v>21</v>
      </c>
      <c r="F377" s="28"/>
      <c r="G377" s="41" t="s">
        <v>59</v>
      </c>
      <c r="H377" s="28"/>
      <c r="I377" s="33" t="s">
        <v>59</v>
      </c>
      <c r="J377" s="28"/>
      <c r="K377" s="28"/>
      <c r="L377" s="28"/>
      <c r="M377" s="28"/>
      <c r="N377" s="28"/>
      <c r="O377" s="28"/>
      <c r="P377" s="133"/>
    </row>
    <row r="378" spans="2:16" x14ac:dyDescent="0.35">
      <c r="B378" s="132"/>
      <c r="C378" s="37" t="s">
        <v>23</v>
      </c>
      <c r="D378" s="48" t="s">
        <v>10</v>
      </c>
      <c r="E378" s="45" t="s">
        <v>19</v>
      </c>
      <c r="F378" s="28"/>
      <c r="G378" s="42" t="s">
        <v>60</v>
      </c>
      <c r="H378" s="28"/>
      <c r="I378" s="42" t="s">
        <v>60</v>
      </c>
      <c r="J378" s="28"/>
      <c r="K378" s="28"/>
      <c r="L378" s="28"/>
      <c r="M378" s="28"/>
      <c r="N378" s="28"/>
      <c r="O378" s="28"/>
      <c r="P378" s="133"/>
    </row>
    <row r="379" spans="2:16" x14ac:dyDescent="0.35">
      <c r="B379" s="132"/>
      <c r="C379" s="37" t="s">
        <v>24</v>
      </c>
      <c r="D379" s="48" t="s">
        <v>10</v>
      </c>
      <c r="E379" s="45" t="s">
        <v>19</v>
      </c>
      <c r="F379" s="28"/>
      <c r="G379" s="42" t="s">
        <v>61</v>
      </c>
      <c r="H379" s="28"/>
      <c r="I379" s="42" t="s">
        <v>61</v>
      </c>
      <c r="J379" s="28"/>
      <c r="K379" s="28"/>
      <c r="L379" s="28"/>
      <c r="M379" s="28"/>
      <c r="N379" s="28"/>
      <c r="O379" s="28"/>
      <c r="P379" s="133"/>
    </row>
    <row r="380" spans="2:16" x14ac:dyDescent="0.35">
      <c r="B380" s="132"/>
      <c r="C380" s="47" t="s">
        <v>26</v>
      </c>
      <c r="D380" s="48" t="s">
        <v>10</v>
      </c>
      <c r="E380" s="41" t="s">
        <v>19</v>
      </c>
      <c r="F380" s="28"/>
      <c r="G380" s="42" t="s">
        <v>62</v>
      </c>
      <c r="H380" s="28"/>
      <c r="I380" s="42" t="s">
        <v>62</v>
      </c>
      <c r="J380" s="28"/>
      <c r="K380" s="28"/>
      <c r="L380" s="28"/>
      <c r="M380" s="28"/>
      <c r="N380" s="28"/>
      <c r="O380" s="28"/>
      <c r="P380" s="133"/>
    </row>
    <row r="381" spans="2:16" x14ac:dyDescent="0.35">
      <c r="B381" s="132"/>
      <c r="C381" s="28"/>
      <c r="D381" s="29"/>
      <c r="E381" s="28"/>
      <c r="F381" s="28"/>
      <c r="G381" s="42" t="s">
        <v>63</v>
      </c>
      <c r="H381" s="28"/>
      <c r="I381" s="42" t="s">
        <v>63</v>
      </c>
      <c r="J381" s="28"/>
      <c r="K381" s="28"/>
      <c r="L381" s="28"/>
      <c r="M381" s="28"/>
      <c r="N381" s="28"/>
      <c r="O381" s="28"/>
      <c r="P381" s="133"/>
    </row>
    <row r="382" spans="2:16" x14ac:dyDescent="0.35">
      <c r="B382" s="132"/>
      <c r="C382" s="28" t="s">
        <v>126</v>
      </c>
      <c r="D382" s="29"/>
      <c r="E382" s="28"/>
      <c r="F382" s="28"/>
      <c r="G382" s="41" t="s">
        <v>64</v>
      </c>
      <c r="H382" s="28"/>
      <c r="I382" s="41" t="s">
        <v>64</v>
      </c>
      <c r="J382" s="28"/>
      <c r="K382" s="28"/>
      <c r="L382" s="28"/>
      <c r="M382" s="28"/>
      <c r="N382" s="28"/>
      <c r="O382" s="28"/>
      <c r="P382" s="133"/>
    </row>
    <row r="383" spans="2:16" ht="15" thickBot="1" x14ac:dyDescent="0.4">
      <c r="B383" s="132"/>
      <c r="C383" s="191" t="s">
        <v>92</v>
      </c>
      <c r="D383" s="39" t="s">
        <v>6</v>
      </c>
      <c r="E383" s="28"/>
      <c r="F383" s="28"/>
      <c r="G383" s="41" t="s">
        <v>98</v>
      </c>
      <c r="H383" s="28"/>
      <c r="I383" s="41" t="s">
        <v>98</v>
      </c>
      <c r="J383" s="28"/>
      <c r="K383" s="28"/>
      <c r="L383" s="28"/>
      <c r="M383" s="28"/>
      <c r="N383" s="28"/>
      <c r="O383" s="28"/>
      <c r="P383" s="133"/>
    </row>
    <row r="384" spans="2:16" ht="15" thickTop="1" x14ac:dyDescent="0.35">
      <c r="B384" s="132"/>
      <c r="C384" s="37" t="s">
        <v>94</v>
      </c>
      <c r="D384" s="38" t="b">
        <v>1</v>
      </c>
      <c r="E384" s="28"/>
      <c r="F384" s="28"/>
      <c r="G384" s="41" t="s">
        <v>65</v>
      </c>
      <c r="H384" s="28"/>
      <c r="I384" s="41" t="s">
        <v>65</v>
      </c>
      <c r="J384" s="28"/>
      <c r="K384" s="28"/>
      <c r="L384" s="28"/>
      <c r="M384" s="28"/>
      <c r="N384" s="28"/>
      <c r="O384" s="28"/>
      <c r="P384" s="133"/>
    </row>
    <row r="385" spans="2:16" x14ac:dyDescent="0.35">
      <c r="B385" s="132"/>
      <c r="C385" s="37" t="s">
        <v>93</v>
      </c>
      <c r="D385" s="38" t="b">
        <v>0</v>
      </c>
      <c r="E385" s="28"/>
      <c r="F385" s="28"/>
      <c r="G385" s="43" t="s">
        <v>66</v>
      </c>
      <c r="H385" s="28"/>
      <c r="I385" s="41" t="s">
        <v>66</v>
      </c>
      <c r="J385" s="28"/>
      <c r="K385" s="28"/>
      <c r="L385" s="28"/>
      <c r="M385" s="28"/>
      <c r="N385" s="28"/>
      <c r="O385" s="28"/>
      <c r="P385" s="133"/>
    </row>
    <row r="386" spans="2:16" x14ac:dyDescent="0.35">
      <c r="B386" s="132"/>
      <c r="C386" s="28"/>
      <c r="D386" s="29"/>
      <c r="E386" s="29"/>
      <c r="F386" s="28"/>
      <c r="G386" s="23"/>
      <c r="H386" s="28"/>
      <c r="I386" s="23"/>
      <c r="J386" s="30"/>
      <c r="K386" s="30"/>
      <c r="L386" s="30"/>
      <c r="M386" s="30"/>
      <c r="N386" s="30"/>
      <c r="O386" s="30"/>
      <c r="P386" s="133"/>
    </row>
    <row r="387" spans="2:16" ht="15" thickBot="1" x14ac:dyDescent="0.4">
      <c r="B387" s="210"/>
      <c r="C387" s="177"/>
      <c r="D387" s="178"/>
      <c r="E387" s="178"/>
      <c r="F387" s="177"/>
      <c r="G387" s="179"/>
      <c r="H387" s="179"/>
      <c r="I387" s="179"/>
      <c r="J387" s="179"/>
      <c r="K387" s="179"/>
      <c r="L387" s="179"/>
      <c r="M387" s="179"/>
      <c r="N387" s="179"/>
      <c r="O387" s="179"/>
      <c r="P387" s="211"/>
    </row>
    <row r="388" spans="2:16" ht="15" thickTop="1" x14ac:dyDescent="0.35">
      <c r="F388" s="180"/>
      <c r="H388" s="33"/>
    </row>
    <row r="389" spans="2:16" x14ac:dyDescent="0.35">
      <c r="F389" s="180"/>
      <c r="G389" s="180"/>
      <c r="H389" s="180"/>
      <c r="I389" s="38"/>
      <c r="J389" s="38"/>
      <c r="K389" s="33"/>
    </row>
    <row r="390" spans="2:16" x14ac:dyDescent="0.35">
      <c r="F390" s="180"/>
      <c r="G390" s="180"/>
      <c r="H390" s="180"/>
      <c r="I390" s="38"/>
      <c r="J390" s="38"/>
      <c r="K390" s="33"/>
    </row>
    <row r="391" spans="2:16" x14ac:dyDescent="0.35">
      <c r="F391" s="180"/>
      <c r="G391" s="180"/>
      <c r="H391" s="180"/>
      <c r="I391" s="38"/>
      <c r="J391" s="38"/>
      <c r="K391" s="33"/>
    </row>
    <row r="392" spans="2:16" x14ac:dyDescent="0.35">
      <c r="F392" s="180"/>
      <c r="G392" s="180"/>
      <c r="H392" s="180"/>
      <c r="I392" s="38"/>
      <c r="J392" s="38"/>
      <c r="K392" s="33"/>
    </row>
    <row r="393" spans="2:16" x14ac:dyDescent="0.35">
      <c r="F393" s="180"/>
      <c r="G393" s="180"/>
      <c r="H393" s="180"/>
      <c r="I393" s="38"/>
      <c r="J393" s="38"/>
      <c r="K393" s="33"/>
    </row>
    <row r="394" spans="2:16" x14ac:dyDescent="0.35">
      <c r="F394" s="180"/>
      <c r="G394" s="180"/>
      <c r="H394" s="180"/>
      <c r="I394" s="38"/>
      <c r="J394" s="38"/>
      <c r="K394" s="33"/>
    </row>
    <row r="395" spans="2:16" x14ac:dyDescent="0.35">
      <c r="F395" s="180"/>
      <c r="G395" s="180"/>
      <c r="H395" s="180"/>
      <c r="I395" s="38"/>
      <c r="J395" s="38"/>
      <c r="K395" s="33"/>
    </row>
    <row r="396" spans="2:16" x14ac:dyDescent="0.35">
      <c r="F396" s="180"/>
      <c r="G396" s="180"/>
      <c r="H396" s="180"/>
      <c r="I396" s="38"/>
      <c r="J396" s="38"/>
      <c r="K396" s="43"/>
    </row>
    <row r="397" spans="2:16" x14ac:dyDescent="0.35">
      <c r="F397" s="180"/>
      <c r="G397" s="180"/>
      <c r="H397" s="180"/>
      <c r="I397" s="38"/>
      <c r="J397" s="38"/>
      <c r="K397" s="43"/>
    </row>
    <row r="398" spans="2:16" x14ac:dyDescent="0.35">
      <c r="F398" s="180"/>
      <c r="G398" s="180"/>
      <c r="H398" s="180"/>
      <c r="I398" s="38"/>
      <c r="J398" s="38"/>
      <c r="K398" s="43"/>
    </row>
    <row r="399" spans="2:16" x14ac:dyDescent="0.35">
      <c r="F399" s="180"/>
      <c r="G399" s="180"/>
      <c r="H399" s="180"/>
      <c r="I399" s="38"/>
      <c r="J399" s="38"/>
      <c r="K399" s="43"/>
    </row>
    <row r="400" spans="2:16" x14ac:dyDescent="0.35">
      <c r="F400" s="180"/>
      <c r="G400" s="180"/>
      <c r="H400" s="180"/>
      <c r="I400" s="38"/>
      <c r="J400" s="38"/>
      <c r="K400" s="43"/>
    </row>
    <row r="401" spans="6:16" x14ac:dyDescent="0.35">
      <c r="F401" s="180"/>
      <c r="G401" s="180"/>
      <c r="H401" s="180"/>
      <c r="I401" s="38"/>
      <c r="J401" s="38"/>
      <c r="K401" s="43"/>
    </row>
    <row r="402" spans="6:16" x14ac:dyDescent="0.35">
      <c r="F402" s="180"/>
      <c r="G402" s="180"/>
      <c r="H402" s="180"/>
      <c r="I402" s="38"/>
      <c r="J402" s="38"/>
      <c r="K402" s="43"/>
    </row>
    <row r="403" spans="6:16" x14ac:dyDescent="0.35">
      <c r="F403" s="180"/>
      <c r="G403" s="180"/>
      <c r="H403" s="180"/>
      <c r="I403" s="38"/>
      <c r="J403" s="38"/>
      <c r="K403" s="43"/>
    </row>
    <row r="404" spans="6:16" x14ac:dyDescent="0.35">
      <c r="F404" s="180"/>
      <c r="G404" s="180"/>
      <c r="H404" s="180"/>
      <c r="I404" s="38"/>
      <c r="J404" s="38"/>
      <c r="K404" s="33"/>
    </row>
    <row r="405" spans="6:16" x14ac:dyDescent="0.35">
      <c r="F405" s="180"/>
      <c r="G405" s="180"/>
      <c r="H405" s="180"/>
      <c r="I405" s="38"/>
      <c r="J405" s="38"/>
      <c r="K405" s="33"/>
      <c r="L405" s="33"/>
      <c r="M405" s="33"/>
      <c r="N405" s="33"/>
      <c r="O405" s="33"/>
      <c r="P405" s="33"/>
    </row>
    <row r="406" spans="6:16" x14ac:dyDescent="0.35">
      <c r="I406" s="139"/>
    </row>
    <row r="407" spans="6:16" x14ac:dyDescent="0.35">
      <c r="I407" s="139"/>
    </row>
    <row r="408" spans="6:16" x14ac:dyDescent="0.35">
      <c r="I408" s="139"/>
    </row>
    <row r="409" spans="6:16" x14ac:dyDescent="0.35">
      <c r="I409" s="139"/>
    </row>
    <row r="410" spans="6:16" x14ac:dyDescent="0.35">
      <c r="I410" s="139"/>
    </row>
    <row r="411" spans="6:16" x14ac:dyDescent="0.35">
      <c r="I411" s="139"/>
    </row>
    <row r="412" spans="6:16" x14ac:dyDescent="0.35">
      <c r="I412" s="139"/>
    </row>
    <row r="413" spans="6:16" x14ac:dyDescent="0.35">
      <c r="I413" s="139"/>
    </row>
    <row r="414" spans="6:16" x14ac:dyDescent="0.35">
      <c r="I414" s="139"/>
    </row>
    <row r="415" spans="6:16" x14ac:dyDescent="0.35">
      <c r="I415" s="139"/>
    </row>
    <row r="416" spans="6:16" x14ac:dyDescent="0.35">
      <c r="I416" s="139"/>
    </row>
    <row r="417" spans="9:9" x14ac:dyDescent="0.35">
      <c r="I417" s="139"/>
    </row>
    <row r="418" spans="9:9" x14ac:dyDescent="0.35">
      <c r="I418" s="139"/>
    </row>
    <row r="419" spans="9:9" x14ac:dyDescent="0.35">
      <c r="I419" s="139"/>
    </row>
    <row r="420" spans="9:9" x14ac:dyDescent="0.35">
      <c r="I420" s="139"/>
    </row>
    <row r="421" spans="9:9" x14ac:dyDescent="0.35">
      <c r="I421" s="139"/>
    </row>
    <row r="422" spans="9:9" x14ac:dyDescent="0.35">
      <c r="I422" s="139"/>
    </row>
    <row r="423" spans="9:9" x14ac:dyDescent="0.35">
      <c r="I423" s="139"/>
    </row>
    <row r="424" spans="9:9" x14ac:dyDescent="0.35">
      <c r="I424" s="139"/>
    </row>
    <row r="425" spans="9:9" x14ac:dyDescent="0.35">
      <c r="I425" s="139"/>
    </row>
    <row r="426" spans="9:9" x14ac:dyDescent="0.35">
      <c r="I426" s="139"/>
    </row>
    <row r="427" spans="9:9" x14ac:dyDescent="0.35">
      <c r="I427" s="139"/>
    </row>
    <row r="428" spans="9:9" x14ac:dyDescent="0.35">
      <c r="I428" s="139"/>
    </row>
    <row r="429" spans="9:9" x14ac:dyDescent="0.35">
      <c r="I429" s="139"/>
    </row>
    <row r="430" spans="9:9" x14ac:dyDescent="0.35">
      <c r="I430" s="139"/>
    </row>
    <row r="431" spans="9:9" x14ac:dyDescent="0.35">
      <c r="I431" s="139"/>
    </row>
    <row r="432" spans="9:9" x14ac:dyDescent="0.35">
      <c r="I432" s="139"/>
    </row>
    <row r="433" spans="9:9" x14ac:dyDescent="0.35">
      <c r="I433" s="139"/>
    </row>
    <row r="434" spans="9:9" x14ac:dyDescent="0.35">
      <c r="I434" s="139"/>
    </row>
  </sheetData>
  <sheetProtection algorithmName="SHA-512" hashValue="d4pZSdmHJ33gC4O9AM0yOui1IyvD0MVewBr/FFtmr062z0JBFsMknRfTL6I6l8ZgsAuORmOthDUBOqV7BDj2ww==" saltValue="3wcXIkMA3pGPoyEx2aDnYw==" spinCount="100000" sheet="1" objects="1" scenarios="1"/>
  <mergeCells count="1">
    <mergeCell ref="B2:P4"/>
  </mergeCells>
  <phoneticPr fontId="29" type="noConversion"/>
  <dataValidations count="1">
    <dataValidation allowBlank="1" showInputMessage="1" showErrorMessage="1" prompt="This value is dependent on the rainfall volume." sqref="I337:J339 I333:J333"/>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21"/>
  <sheetViews>
    <sheetView showRowColHeaders="0" zoomScaleNormal="100" workbookViewId="0"/>
  </sheetViews>
  <sheetFormatPr defaultColWidth="9.1796875" defaultRowHeight="14.5" x14ac:dyDescent="0.35"/>
  <cols>
    <col min="1" max="13" width="9.1796875" style="136"/>
    <col min="14" max="14" width="1.7265625" style="136" customWidth="1"/>
    <col min="15" max="16384" width="9.1796875" style="136"/>
  </cols>
  <sheetData>
    <row r="2" spans="2:14" ht="15" thickBot="1" x14ac:dyDescent="0.4"/>
    <row r="3" spans="2:14" ht="15.75" customHeight="1" thickTop="1" x14ac:dyDescent="0.35">
      <c r="B3" s="239" t="s">
        <v>193</v>
      </c>
      <c r="C3" s="240"/>
      <c r="D3" s="240"/>
      <c r="E3" s="240"/>
      <c r="F3" s="240"/>
      <c r="G3" s="240"/>
      <c r="H3" s="240"/>
      <c r="I3" s="240"/>
      <c r="J3" s="240"/>
      <c r="K3" s="240"/>
      <c r="L3" s="240"/>
      <c r="M3" s="240"/>
      <c r="N3" s="241"/>
    </row>
    <row r="4" spans="2:14" ht="15" customHeight="1" x14ac:dyDescent="0.35">
      <c r="B4" s="242"/>
      <c r="C4" s="243"/>
      <c r="D4" s="243"/>
      <c r="E4" s="243"/>
      <c r="F4" s="243"/>
      <c r="G4" s="243"/>
      <c r="H4" s="243"/>
      <c r="I4" s="243"/>
      <c r="J4" s="243"/>
      <c r="K4" s="243"/>
      <c r="L4" s="243"/>
      <c r="M4" s="243"/>
      <c r="N4" s="244"/>
    </row>
    <row r="5" spans="2:14" ht="15" customHeight="1" x14ac:dyDescent="0.35">
      <c r="B5" s="242"/>
      <c r="C5" s="243"/>
      <c r="D5" s="243"/>
      <c r="E5" s="243"/>
      <c r="F5" s="243"/>
      <c r="G5" s="243"/>
      <c r="H5" s="243"/>
      <c r="I5" s="243"/>
      <c r="J5" s="243"/>
      <c r="K5" s="243"/>
      <c r="L5" s="243"/>
      <c r="M5" s="243"/>
      <c r="N5" s="244"/>
    </row>
    <row r="6" spans="2:14" ht="8.25" customHeight="1" x14ac:dyDescent="0.35">
      <c r="B6" s="131"/>
      <c r="C6" s="1"/>
      <c r="D6" s="1"/>
      <c r="E6" s="1"/>
      <c r="F6" s="1"/>
      <c r="G6" s="1"/>
      <c r="H6" s="1"/>
      <c r="I6" s="1"/>
      <c r="J6" s="1"/>
      <c r="K6" s="1"/>
      <c r="L6" s="1"/>
      <c r="M6" s="1"/>
      <c r="N6" s="121"/>
    </row>
    <row r="7" spans="2:14" ht="56.25" customHeight="1" x14ac:dyDescent="0.35">
      <c r="B7" s="245" t="s">
        <v>213</v>
      </c>
      <c r="C7" s="246"/>
      <c r="D7" s="246"/>
      <c r="E7" s="246"/>
      <c r="F7" s="246"/>
      <c r="G7" s="246"/>
      <c r="H7" s="246"/>
      <c r="I7" s="246"/>
      <c r="J7" s="246"/>
      <c r="K7" s="246"/>
      <c r="L7" s="246"/>
      <c r="M7" s="246"/>
      <c r="N7" s="121"/>
    </row>
    <row r="8" spans="2:14" ht="59.25" customHeight="1" x14ac:dyDescent="0.35">
      <c r="B8" s="247" t="s">
        <v>192</v>
      </c>
      <c r="C8" s="248"/>
      <c r="D8" s="248"/>
      <c r="E8" s="248"/>
      <c r="F8" s="248"/>
      <c r="G8" s="248"/>
      <c r="H8" s="248"/>
      <c r="I8" s="248"/>
      <c r="J8" s="248"/>
      <c r="K8" s="248"/>
      <c r="L8" s="248"/>
      <c r="M8" s="248"/>
      <c r="N8" s="121"/>
    </row>
    <row r="9" spans="2:14" x14ac:dyDescent="0.35">
      <c r="B9" s="132"/>
      <c r="C9" s="23"/>
      <c r="D9" s="23"/>
      <c r="E9" s="23"/>
      <c r="F9" s="23"/>
      <c r="G9" s="23"/>
      <c r="H9" s="23"/>
      <c r="I9" s="23"/>
      <c r="J9" s="23"/>
      <c r="K9" s="23"/>
      <c r="L9" s="23"/>
      <c r="M9" s="23"/>
      <c r="N9" s="121"/>
    </row>
    <row r="10" spans="2:14" x14ac:dyDescent="0.35">
      <c r="B10" s="132"/>
      <c r="C10" s="23"/>
      <c r="D10" s="23"/>
      <c r="E10" s="23"/>
      <c r="F10" s="23"/>
      <c r="G10" s="23"/>
      <c r="H10" s="23"/>
      <c r="I10" s="23"/>
      <c r="J10" s="23"/>
      <c r="K10" s="23"/>
      <c r="L10" s="23"/>
      <c r="M10" s="23"/>
      <c r="N10" s="121"/>
    </row>
    <row r="11" spans="2:14" x14ac:dyDescent="0.35">
      <c r="B11" s="132"/>
      <c r="C11" s="23"/>
      <c r="D11" s="23"/>
      <c r="E11" s="23"/>
      <c r="F11" s="23"/>
      <c r="G11" s="23"/>
      <c r="H11" s="23"/>
      <c r="I11" s="23"/>
      <c r="J11" s="23"/>
      <c r="K11" s="23"/>
      <c r="L11" s="23"/>
      <c r="M11" s="23"/>
      <c r="N11" s="121"/>
    </row>
    <row r="12" spans="2:14" x14ac:dyDescent="0.35">
      <c r="B12" s="132"/>
      <c r="C12" s="23"/>
      <c r="D12" s="23"/>
      <c r="E12" s="23"/>
      <c r="F12" s="23"/>
      <c r="G12" s="23"/>
      <c r="H12" s="23"/>
      <c r="I12" s="23"/>
      <c r="J12" s="23"/>
      <c r="K12" s="23"/>
      <c r="L12" s="23"/>
      <c r="M12" s="23"/>
      <c r="N12" s="121"/>
    </row>
    <row r="13" spans="2:14" x14ac:dyDescent="0.35">
      <c r="B13" s="132"/>
      <c r="C13" s="23"/>
      <c r="D13" s="23"/>
      <c r="E13" s="23"/>
      <c r="F13" s="23"/>
      <c r="G13" s="23"/>
      <c r="H13" s="23"/>
      <c r="I13" s="23"/>
      <c r="J13" s="23"/>
      <c r="K13" s="23"/>
      <c r="L13" s="23"/>
      <c r="M13" s="23"/>
      <c r="N13" s="121"/>
    </row>
    <row r="14" spans="2:14" x14ac:dyDescent="0.35">
      <c r="B14" s="132"/>
      <c r="C14" s="23"/>
      <c r="D14" s="23"/>
      <c r="E14" s="23"/>
      <c r="F14" s="23"/>
      <c r="G14" s="23"/>
      <c r="H14" s="23"/>
      <c r="I14" s="23"/>
      <c r="J14" s="23"/>
      <c r="K14" s="23"/>
      <c r="L14" s="23"/>
      <c r="M14" s="23"/>
      <c r="N14" s="121"/>
    </row>
    <row r="15" spans="2:14" x14ac:dyDescent="0.35">
      <c r="B15" s="132"/>
      <c r="C15" s="23"/>
      <c r="D15" s="23"/>
      <c r="E15" s="23"/>
      <c r="F15" s="23"/>
      <c r="G15" s="23"/>
      <c r="H15" s="23"/>
      <c r="I15" s="23"/>
      <c r="J15" s="23"/>
      <c r="K15" s="23"/>
      <c r="L15" s="23"/>
      <c r="M15" s="23"/>
      <c r="N15" s="121"/>
    </row>
    <row r="16" spans="2:14" x14ac:dyDescent="0.35">
      <c r="B16" s="132"/>
      <c r="C16" s="23"/>
      <c r="D16" s="23"/>
      <c r="E16" s="23"/>
      <c r="F16" s="23"/>
      <c r="G16" s="23"/>
      <c r="H16" s="23"/>
      <c r="I16" s="23"/>
      <c r="J16" s="23"/>
      <c r="K16" s="23"/>
      <c r="L16" s="23"/>
      <c r="M16" s="23"/>
      <c r="N16" s="121"/>
    </row>
    <row r="17" spans="2:14" x14ac:dyDescent="0.35">
      <c r="B17" s="132"/>
      <c r="C17" s="23"/>
      <c r="D17" s="23"/>
      <c r="E17" s="23"/>
      <c r="F17" s="23"/>
      <c r="G17" s="23"/>
      <c r="H17" s="23"/>
      <c r="I17" s="23"/>
      <c r="J17" s="23"/>
      <c r="K17" s="23"/>
      <c r="L17" s="23"/>
      <c r="M17" s="23"/>
      <c r="N17" s="121"/>
    </row>
    <row r="18" spans="2:14" x14ac:dyDescent="0.35">
      <c r="B18" s="132"/>
      <c r="C18" s="23"/>
      <c r="D18" s="23"/>
      <c r="E18" s="23"/>
      <c r="F18" s="23"/>
      <c r="G18" s="23"/>
      <c r="H18" s="23"/>
      <c r="I18" s="23"/>
      <c r="J18" s="23"/>
      <c r="K18" s="23"/>
      <c r="L18" s="23"/>
      <c r="M18" s="23"/>
      <c r="N18" s="121"/>
    </row>
    <row r="19" spans="2:14" x14ac:dyDescent="0.35">
      <c r="B19" s="132"/>
      <c r="C19" s="23"/>
      <c r="D19" s="23"/>
      <c r="E19" s="23"/>
      <c r="F19" s="23"/>
      <c r="G19" s="23"/>
      <c r="H19" s="23"/>
      <c r="I19" s="23"/>
      <c r="J19" s="23"/>
      <c r="K19" s="23"/>
      <c r="L19" s="23"/>
      <c r="M19" s="23"/>
      <c r="N19" s="121"/>
    </row>
    <row r="20" spans="2:14" x14ac:dyDescent="0.35">
      <c r="B20" s="132"/>
      <c r="C20" s="23"/>
      <c r="D20" s="23"/>
      <c r="E20" s="23"/>
      <c r="F20" s="23"/>
      <c r="G20" s="23"/>
      <c r="H20" s="23"/>
      <c r="I20" s="23"/>
      <c r="J20" s="23"/>
      <c r="K20" s="23"/>
      <c r="L20" s="23"/>
      <c r="M20" s="23"/>
      <c r="N20" s="121"/>
    </row>
    <row r="21" spans="2:14" x14ac:dyDescent="0.35">
      <c r="B21" s="132"/>
      <c r="C21" s="23"/>
      <c r="D21" s="23"/>
      <c r="E21" s="23"/>
      <c r="F21" s="23"/>
      <c r="G21" s="23"/>
      <c r="H21" s="23"/>
      <c r="I21" s="23"/>
      <c r="J21" s="23"/>
      <c r="K21" s="23"/>
      <c r="L21" s="23"/>
      <c r="M21" s="23"/>
      <c r="N21" s="121"/>
    </row>
    <row r="22" spans="2:14" x14ac:dyDescent="0.35">
      <c r="B22" s="132"/>
      <c r="C22" s="23"/>
      <c r="D22" s="23"/>
      <c r="E22" s="23"/>
      <c r="F22" s="23"/>
      <c r="G22" s="23"/>
      <c r="H22" s="23"/>
      <c r="I22" s="23"/>
      <c r="J22" s="23"/>
      <c r="K22" s="23"/>
      <c r="L22" s="23"/>
      <c r="M22" s="23"/>
      <c r="N22" s="121"/>
    </row>
    <row r="23" spans="2:14" x14ac:dyDescent="0.35">
      <c r="B23" s="132"/>
      <c r="C23" s="23"/>
      <c r="D23" s="23"/>
      <c r="E23" s="23"/>
      <c r="F23" s="23"/>
      <c r="G23" s="23"/>
      <c r="H23" s="23"/>
      <c r="I23" s="23"/>
      <c r="J23" s="23"/>
      <c r="K23" s="23"/>
      <c r="L23" s="23"/>
      <c r="M23" s="23"/>
      <c r="N23" s="121"/>
    </row>
    <row r="24" spans="2:14" x14ac:dyDescent="0.35">
      <c r="B24" s="132"/>
      <c r="C24" s="23"/>
      <c r="D24" s="23"/>
      <c r="E24" s="23"/>
      <c r="F24" s="23"/>
      <c r="G24" s="23"/>
      <c r="H24" s="23"/>
      <c r="I24" s="23"/>
      <c r="J24" s="23"/>
      <c r="K24" s="23"/>
      <c r="L24" s="23"/>
      <c r="M24" s="23"/>
      <c r="N24" s="121"/>
    </row>
    <row r="25" spans="2:14" x14ac:dyDescent="0.35">
      <c r="B25" s="132"/>
      <c r="C25" s="23"/>
      <c r="D25" s="23"/>
      <c r="E25" s="23"/>
      <c r="F25" s="23"/>
      <c r="G25" s="23"/>
      <c r="H25" s="23"/>
      <c r="I25" s="23"/>
      <c r="J25" s="23"/>
      <c r="K25" s="23"/>
      <c r="L25" s="23"/>
      <c r="M25" s="23"/>
      <c r="N25" s="121"/>
    </row>
    <row r="26" spans="2:14" x14ac:dyDescent="0.35">
      <c r="B26" s="132"/>
      <c r="C26" s="23"/>
      <c r="D26" s="23"/>
      <c r="E26" s="23"/>
      <c r="F26" s="23"/>
      <c r="G26" s="23"/>
      <c r="H26" s="23"/>
      <c r="I26" s="23"/>
      <c r="J26" s="23"/>
      <c r="K26" s="23"/>
      <c r="L26" s="23"/>
      <c r="M26" s="23"/>
      <c r="N26" s="121"/>
    </row>
    <row r="27" spans="2:14" x14ac:dyDescent="0.35">
      <c r="B27" s="132"/>
      <c r="C27" s="23"/>
      <c r="D27" s="23"/>
      <c r="E27" s="23"/>
      <c r="F27" s="23"/>
      <c r="G27" s="23"/>
      <c r="H27" s="23"/>
      <c r="I27" s="23"/>
      <c r="J27" s="23"/>
      <c r="K27" s="23"/>
      <c r="L27" s="23"/>
      <c r="M27" s="23"/>
      <c r="N27" s="121"/>
    </row>
    <row r="28" spans="2:14" x14ac:dyDescent="0.35">
      <c r="B28" s="132"/>
      <c r="C28" s="23"/>
      <c r="D28" s="23"/>
      <c r="E28" s="23"/>
      <c r="F28" s="23"/>
      <c r="G28" s="23"/>
      <c r="H28" s="23"/>
      <c r="I28" s="23"/>
      <c r="J28" s="23"/>
      <c r="K28" s="23"/>
      <c r="L28" s="23"/>
      <c r="M28" s="23"/>
      <c r="N28" s="121"/>
    </row>
    <row r="29" spans="2:14" x14ac:dyDescent="0.35">
      <c r="B29" s="132"/>
      <c r="C29" s="23"/>
      <c r="D29" s="23"/>
      <c r="E29" s="23"/>
      <c r="F29" s="23"/>
      <c r="G29" s="23"/>
      <c r="H29" s="23"/>
      <c r="I29" s="23"/>
      <c r="J29" s="23"/>
      <c r="K29" s="23"/>
      <c r="L29" s="23"/>
      <c r="M29" s="23"/>
      <c r="N29" s="121"/>
    </row>
    <row r="30" spans="2:14" x14ac:dyDescent="0.35">
      <c r="B30" s="132"/>
      <c r="C30" s="23"/>
      <c r="D30" s="23"/>
      <c r="E30" s="23"/>
      <c r="F30" s="23"/>
      <c r="G30" s="23"/>
      <c r="H30" s="23"/>
      <c r="I30" s="23"/>
      <c r="J30" s="23"/>
      <c r="K30" s="23"/>
      <c r="L30" s="23"/>
      <c r="M30" s="23"/>
      <c r="N30" s="121"/>
    </row>
    <row r="31" spans="2:14" x14ac:dyDescent="0.35">
      <c r="B31" s="132"/>
      <c r="C31" s="23"/>
      <c r="D31" s="23"/>
      <c r="E31" s="23"/>
      <c r="F31" s="23"/>
      <c r="G31" s="23"/>
      <c r="H31" s="23"/>
      <c r="I31" s="23"/>
      <c r="J31" s="23"/>
      <c r="K31" s="23"/>
      <c r="L31" s="23"/>
      <c r="M31" s="23"/>
      <c r="N31" s="121"/>
    </row>
    <row r="32" spans="2:14" x14ac:dyDescent="0.35">
      <c r="B32" s="132"/>
      <c r="C32" s="23"/>
      <c r="D32" s="23"/>
      <c r="E32" s="23"/>
      <c r="F32" s="23"/>
      <c r="G32" s="23"/>
      <c r="H32" s="23"/>
      <c r="I32" s="23"/>
      <c r="J32" s="23"/>
      <c r="K32" s="23"/>
      <c r="L32" s="23"/>
      <c r="M32" s="23"/>
      <c r="N32" s="121"/>
    </row>
    <row r="33" spans="2:14" x14ac:dyDescent="0.35">
      <c r="B33" s="132"/>
      <c r="C33" s="23"/>
      <c r="D33" s="23"/>
      <c r="E33" s="23"/>
      <c r="F33" s="23"/>
      <c r="G33" s="23"/>
      <c r="H33" s="23"/>
      <c r="I33" s="23"/>
      <c r="J33" s="23"/>
      <c r="K33" s="23"/>
      <c r="L33" s="23"/>
      <c r="M33" s="23"/>
      <c r="N33" s="121"/>
    </row>
    <row r="34" spans="2:14" ht="57.75" customHeight="1" x14ac:dyDescent="0.35">
      <c r="B34" s="247" t="s">
        <v>271</v>
      </c>
      <c r="C34" s="248"/>
      <c r="D34" s="248"/>
      <c r="E34" s="248"/>
      <c r="F34" s="248"/>
      <c r="G34" s="248"/>
      <c r="H34" s="248"/>
      <c r="I34" s="248"/>
      <c r="J34" s="248"/>
      <c r="K34" s="248"/>
      <c r="L34" s="248"/>
      <c r="M34" s="248"/>
      <c r="N34" s="121"/>
    </row>
    <row r="35" spans="2:14" ht="60" customHeight="1" x14ac:dyDescent="0.35">
      <c r="B35" s="245" t="s">
        <v>272</v>
      </c>
      <c r="C35" s="246"/>
      <c r="D35" s="246"/>
      <c r="E35" s="246"/>
      <c r="F35" s="246"/>
      <c r="G35" s="246"/>
      <c r="H35" s="246"/>
      <c r="I35" s="246"/>
      <c r="J35" s="246"/>
      <c r="K35" s="246"/>
      <c r="L35" s="246"/>
      <c r="M35" s="246"/>
      <c r="N35" s="121"/>
    </row>
    <row r="36" spans="2:14" ht="81.75" customHeight="1" thickBot="1" x14ac:dyDescent="0.4">
      <c r="B36" s="237" t="s">
        <v>214</v>
      </c>
      <c r="C36" s="238"/>
      <c r="D36" s="238"/>
      <c r="E36" s="238"/>
      <c r="F36" s="238"/>
      <c r="G36" s="238"/>
      <c r="H36" s="238"/>
      <c r="I36" s="238"/>
      <c r="J36" s="238"/>
      <c r="K36" s="238"/>
      <c r="L36" s="238"/>
      <c r="M36" s="238"/>
      <c r="N36" s="135"/>
    </row>
    <row r="37" spans="2:14" ht="15" thickTop="1" x14ac:dyDescent="0.35">
      <c r="B37" s="33"/>
      <c r="C37" s="33"/>
      <c r="D37" s="33"/>
      <c r="E37" s="33"/>
      <c r="F37" s="33"/>
      <c r="G37" s="33"/>
      <c r="H37" s="33"/>
      <c r="I37" s="33"/>
      <c r="J37" s="33"/>
      <c r="K37" s="33"/>
      <c r="L37" s="33"/>
      <c r="M37" s="33"/>
    </row>
    <row r="38" spans="2:14" x14ac:dyDescent="0.35">
      <c r="B38" s="33"/>
      <c r="C38" s="33"/>
      <c r="D38" s="33"/>
      <c r="E38" s="33"/>
      <c r="F38" s="33"/>
      <c r="G38" s="33"/>
      <c r="H38" s="33"/>
      <c r="I38" s="33"/>
      <c r="J38" s="33"/>
      <c r="K38" s="33"/>
      <c r="L38" s="33"/>
      <c r="M38" s="33"/>
    </row>
    <row r="39" spans="2:14" x14ac:dyDescent="0.35">
      <c r="B39" s="33"/>
      <c r="C39" s="33"/>
      <c r="D39" s="33"/>
      <c r="E39" s="33"/>
      <c r="F39" s="33"/>
      <c r="G39" s="33"/>
      <c r="H39" s="33"/>
      <c r="I39" s="33"/>
      <c r="J39" s="33"/>
      <c r="K39" s="33"/>
      <c r="L39" s="33"/>
      <c r="M39" s="33"/>
    </row>
    <row r="40" spans="2:14" x14ac:dyDescent="0.35">
      <c r="B40" s="33"/>
      <c r="C40" s="33"/>
      <c r="D40" s="33"/>
      <c r="E40" s="33"/>
      <c r="F40" s="33"/>
      <c r="G40" s="33"/>
      <c r="H40" s="33"/>
      <c r="I40" s="33"/>
      <c r="J40" s="33"/>
      <c r="K40" s="33"/>
      <c r="L40" s="33"/>
      <c r="M40" s="33"/>
    </row>
    <row r="41" spans="2:14" x14ac:dyDescent="0.35">
      <c r="B41" s="33"/>
      <c r="C41" s="33"/>
      <c r="D41" s="33"/>
      <c r="E41" s="33"/>
      <c r="F41" s="33"/>
      <c r="G41" s="33"/>
      <c r="H41" s="33"/>
      <c r="I41" s="33"/>
      <c r="J41" s="33"/>
      <c r="K41" s="33"/>
      <c r="L41" s="33"/>
      <c r="M41" s="33"/>
    </row>
    <row r="42" spans="2:14" x14ac:dyDescent="0.35">
      <c r="B42" s="33"/>
      <c r="C42" s="33"/>
      <c r="D42" s="33"/>
      <c r="E42" s="33"/>
      <c r="F42" s="33"/>
      <c r="G42" s="33"/>
      <c r="H42" s="33"/>
      <c r="I42" s="33"/>
      <c r="J42" s="33"/>
      <c r="K42" s="33"/>
      <c r="L42" s="33"/>
      <c r="M42" s="33"/>
    </row>
    <row r="43" spans="2:14" x14ac:dyDescent="0.35">
      <c r="B43" s="33"/>
      <c r="C43" s="33"/>
      <c r="D43" s="33"/>
      <c r="E43" s="33"/>
      <c r="F43" s="33"/>
      <c r="G43" s="33"/>
      <c r="H43" s="33"/>
      <c r="I43" s="33"/>
      <c r="J43" s="33"/>
      <c r="K43" s="33"/>
      <c r="L43" s="33"/>
      <c r="M43" s="33"/>
    </row>
    <row r="44" spans="2:14" x14ac:dyDescent="0.35">
      <c r="B44" s="33"/>
      <c r="C44" s="33"/>
      <c r="D44" s="33"/>
      <c r="E44" s="33"/>
      <c r="F44" s="33"/>
      <c r="G44" s="33"/>
      <c r="H44" s="33"/>
      <c r="I44" s="33"/>
      <c r="J44" s="33"/>
      <c r="K44" s="33"/>
      <c r="L44" s="33"/>
      <c r="M44" s="33"/>
    </row>
    <row r="45" spans="2:14" x14ac:dyDescent="0.35">
      <c r="B45" s="33"/>
      <c r="C45" s="33"/>
      <c r="D45" s="33"/>
      <c r="E45" s="33"/>
      <c r="F45" s="33"/>
      <c r="G45" s="33"/>
      <c r="H45" s="33"/>
      <c r="I45" s="33"/>
      <c r="J45" s="33"/>
      <c r="K45" s="33"/>
      <c r="L45" s="33"/>
      <c r="M45" s="33"/>
    </row>
    <row r="46" spans="2:14" x14ac:dyDescent="0.35">
      <c r="B46" s="33"/>
      <c r="C46" s="33"/>
      <c r="D46" s="33"/>
      <c r="E46" s="33"/>
      <c r="F46" s="33"/>
      <c r="G46" s="33"/>
      <c r="H46" s="33"/>
      <c r="I46" s="33"/>
      <c r="J46" s="33"/>
      <c r="K46" s="33"/>
      <c r="L46" s="33"/>
      <c r="M46" s="33"/>
    </row>
    <row r="47" spans="2:14" x14ac:dyDescent="0.35">
      <c r="B47" s="33"/>
      <c r="C47" s="33"/>
      <c r="D47" s="33"/>
      <c r="E47" s="33"/>
      <c r="F47" s="33"/>
      <c r="G47" s="33"/>
      <c r="H47" s="33"/>
      <c r="I47" s="33"/>
      <c r="J47" s="33"/>
      <c r="K47" s="33"/>
      <c r="L47" s="33"/>
      <c r="M47" s="33"/>
    </row>
    <row r="48" spans="2:14" x14ac:dyDescent="0.35">
      <c r="B48" s="33"/>
      <c r="C48" s="33"/>
      <c r="D48" s="33"/>
      <c r="E48" s="33"/>
      <c r="F48" s="33"/>
      <c r="G48" s="33"/>
      <c r="H48" s="33"/>
      <c r="I48" s="33"/>
      <c r="J48" s="33"/>
      <c r="K48" s="33"/>
      <c r="L48" s="33"/>
      <c r="M48" s="33"/>
    </row>
    <row r="49" spans="2:13" x14ac:dyDescent="0.35">
      <c r="B49" s="33"/>
      <c r="C49" s="33"/>
      <c r="D49" s="33"/>
      <c r="E49" s="33"/>
      <c r="F49" s="33"/>
      <c r="G49" s="33"/>
      <c r="H49" s="33"/>
      <c r="I49" s="33"/>
      <c r="J49" s="33"/>
      <c r="K49" s="33"/>
      <c r="L49" s="33"/>
      <c r="M49" s="33"/>
    </row>
    <row r="50" spans="2:13" x14ac:dyDescent="0.35">
      <c r="B50" s="33"/>
      <c r="C50" s="33"/>
      <c r="D50" s="33"/>
      <c r="E50" s="33"/>
      <c r="F50" s="33"/>
      <c r="G50" s="33"/>
      <c r="H50" s="33"/>
      <c r="I50" s="33"/>
      <c r="J50" s="33"/>
      <c r="K50" s="33"/>
      <c r="L50" s="33"/>
      <c r="M50" s="33"/>
    </row>
    <row r="51" spans="2:13" x14ac:dyDescent="0.35">
      <c r="B51" s="33"/>
      <c r="C51" s="33"/>
      <c r="D51" s="33"/>
      <c r="E51" s="33"/>
      <c r="F51" s="33"/>
      <c r="G51" s="33"/>
      <c r="H51" s="33"/>
      <c r="I51" s="33"/>
      <c r="J51" s="33"/>
      <c r="K51" s="33"/>
      <c r="L51" s="33"/>
      <c r="M51" s="33"/>
    </row>
    <row r="52" spans="2:13" x14ac:dyDescent="0.35">
      <c r="B52" s="33"/>
      <c r="C52" s="33"/>
      <c r="D52" s="33"/>
      <c r="E52" s="33"/>
      <c r="F52" s="33"/>
      <c r="G52" s="33"/>
      <c r="H52" s="33"/>
      <c r="I52" s="33"/>
      <c r="J52" s="33"/>
      <c r="K52" s="33"/>
      <c r="L52" s="33"/>
      <c r="M52" s="33"/>
    </row>
    <row r="53" spans="2:13" x14ac:dyDescent="0.35">
      <c r="B53" s="33"/>
      <c r="C53" s="33"/>
      <c r="D53" s="33"/>
      <c r="E53" s="33"/>
      <c r="F53" s="33"/>
      <c r="G53" s="33"/>
      <c r="H53" s="33"/>
      <c r="I53" s="33"/>
      <c r="J53" s="33"/>
      <c r="K53" s="33"/>
      <c r="L53" s="33"/>
      <c r="M53" s="33"/>
    </row>
    <row r="54" spans="2:13" x14ac:dyDescent="0.35">
      <c r="B54" s="33"/>
      <c r="C54" s="33"/>
      <c r="D54" s="33"/>
      <c r="E54" s="33"/>
      <c r="F54" s="33"/>
      <c r="G54" s="33"/>
      <c r="H54" s="33"/>
      <c r="I54" s="33"/>
      <c r="J54" s="33"/>
      <c r="K54" s="33"/>
      <c r="L54" s="33"/>
      <c r="M54" s="33"/>
    </row>
    <row r="55" spans="2:13" x14ac:dyDescent="0.35">
      <c r="B55" s="33"/>
      <c r="C55" s="33"/>
      <c r="D55" s="33"/>
      <c r="E55" s="33"/>
      <c r="F55" s="33"/>
      <c r="G55" s="33"/>
      <c r="H55" s="33"/>
      <c r="I55" s="33"/>
      <c r="J55" s="33"/>
      <c r="K55" s="33"/>
      <c r="L55" s="33"/>
      <c r="M55" s="33"/>
    </row>
    <row r="56" spans="2:13" x14ac:dyDescent="0.35">
      <c r="B56" s="33"/>
      <c r="C56" s="33"/>
      <c r="D56" s="33"/>
      <c r="E56" s="33"/>
      <c r="F56" s="33"/>
      <c r="G56" s="33"/>
      <c r="H56" s="33"/>
      <c r="I56" s="33"/>
      <c r="J56" s="33"/>
      <c r="K56" s="33"/>
      <c r="L56" s="33"/>
      <c r="M56" s="33"/>
    </row>
    <row r="57" spans="2:13" x14ac:dyDescent="0.35">
      <c r="B57" s="33"/>
      <c r="C57" s="33"/>
      <c r="D57" s="33"/>
      <c r="E57" s="33"/>
      <c r="F57" s="33"/>
      <c r="G57" s="33"/>
      <c r="H57" s="33"/>
      <c r="I57" s="33"/>
      <c r="J57" s="33"/>
      <c r="K57" s="33"/>
      <c r="L57" s="33"/>
      <c r="M57" s="33"/>
    </row>
    <row r="58" spans="2:13" x14ac:dyDescent="0.35">
      <c r="B58" s="33"/>
      <c r="C58" s="33"/>
      <c r="D58" s="33"/>
      <c r="E58" s="33"/>
      <c r="F58" s="33"/>
      <c r="G58" s="33"/>
      <c r="H58" s="33"/>
      <c r="I58" s="33"/>
      <c r="J58" s="33"/>
      <c r="K58" s="33"/>
      <c r="L58" s="33"/>
      <c r="M58" s="33"/>
    </row>
    <row r="59" spans="2:13" x14ac:dyDescent="0.35">
      <c r="B59" s="33"/>
      <c r="C59" s="33"/>
      <c r="D59" s="33"/>
      <c r="E59" s="33"/>
      <c r="F59" s="33"/>
      <c r="G59" s="33"/>
      <c r="H59" s="33"/>
      <c r="I59" s="33"/>
      <c r="J59" s="33"/>
      <c r="K59" s="33"/>
      <c r="L59" s="33"/>
      <c r="M59" s="33"/>
    </row>
    <row r="60" spans="2:13" x14ac:dyDescent="0.35">
      <c r="B60" s="33"/>
      <c r="C60" s="33"/>
      <c r="D60" s="33"/>
      <c r="E60" s="33"/>
      <c r="F60" s="33"/>
      <c r="G60" s="33"/>
      <c r="H60" s="33"/>
      <c r="I60" s="33"/>
      <c r="J60" s="33"/>
      <c r="K60" s="33"/>
      <c r="L60" s="33"/>
      <c r="M60" s="33"/>
    </row>
    <row r="61" spans="2:13" x14ac:dyDescent="0.35">
      <c r="B61" s="33"/>
      <c r="C61" s="33"/>
      <c r="D61" s="33"/>
      <c r="E61" s="33"/>
      <c r="F61" s="33"/>
      <c r="G61" s="33"/>
      <c r="H61" s="33"/>
      <c r="I61" s="33"/>
      <c r="J61" s="33"/>
      <c r="K61" s="33"/>
      <c r="L61" s="33"/>
      <c r="M61" s="33"/>
    </row>
    <row r="62" spans="2:13" x14ac:dyDescent="0.35">
      <c r="B62" s="33"/>
      <c r="C62" s="33"/>
      <c r="D62" s="33"/>
      <c r="E62" s="33"/>
      <c r="F62" s="33"/>
      <c r="G62" s="33"/>
      <c r="H62" s="33"/>
      <c r="I62" s="33"/>
      <c r="J62" s="33"/>
      <c r="K62" s="33"/>
      <c r="L62" s="33"/>
      <c r="M62" s="33"/>
    </row>
    <row r="63" spans="2:13" x14ac:dyDescent="0.35">
      <c r="B63" s="33"/>
      <c r="C63" s="33"/>
      <c r="D63" s="33"/>
      <c r="E63" s="33"/>
      <c r="F63" s="33"/>
      <c r="G63" s="33"/>
      <c r="H63" s="33"/>
      <c r="I63" s="33"/>
      <c r="J63" s="33"/>
      <c r="K63" s="33"/>
      <c r="L63" s="33"/>
      <c r="M63" s="33"/>
    </row>
    <row r="64" spans="2:13" x14ac:dyDescent="0.35">
      <c r="B64" s="33"/>
      <c r="C64" s="33"/>
      <c r="D64" s="33"/>
      <c r="E64" s="33"/>
      <c r="F64" s="33"/>
      <c r="G64" s="33"/>
      <c r="H64" s="33"/>
      <c r="I64" s="33"/>
      <c r="J64" s="33"/>
      <c r="K64" s="33"/>
      <c r="L64" s="33"/>
      <c r="M64" s="33"/>
    </row>
    <row r="65" spans="2:13" x14ac:dyDescent="0.35">
      <c r="B65" s="33"/>
      <c r="C65" s="33"/>
      <c r="D65" s="33"/>
      <c r="E65" s="33"/>
      <c r="F65" s="33"/>
      <c r="G65" s="33"/>
      <c r="H65" s="33"/>
      <c r="I65" s="33"/>
      <c r="J65" s="33"/>
      <c r="K65" s="33"/>
      <c r="L65" s="33"/>
      <c r="M65" s="33"/>
    </row>
    <row r="66" spans="2:13" x14ac:dyDescent="0.35">
      <c r="B66" s="33"/>
      <c r="C66" s="33"/>
      <c r="D66" s="33"/>
      <c r="E66" s="33"/>
      <c r="F66" s="33"/>
      <c r="G66" s="33"/>
      <c r="H66" s="33"/>
      <c r="I66" s="33"/>
      <c r="J66" s="33"/>
      <c r="K66" s="33"/>
      <c r="L66" s="33"/>
      <c r="M66" s="33"/>
    </row>
    <row r="67" spans="2:13" x14ac:dyDescent="0.35">
      <c r="B67" s="33"/>
      <c r="C67" s="33"/>
      <c r="D67" s="33"/>
      <c r="E67" s="33"/>
      <c r="F67" s="33"/>
      <c r="G67" s="33"/>
      <c r="H67" s="33"/>
      <c r="I67" s="33"/>
      <c r="J67" s="33"/>
      <c r="K67" s="33"/>
      <c r="L67" s="33"/>
      <c r="M67" s="33"/>
    </row>
    <row r="68" spans="2:13" x14ac:dyDescent="0.35">
      <c r="B68" s="33"/>
      <c r="C68" s="33"/>
      <c r="D68" s="33"/>
      <c r="E68" s="33"/>
      <c r="F68" s="33"/>
      <c r="G68" s="33"/>
      <c r="H68" s="33"/>
      <c r="I68" s="33"/>
      <c r="J68" s="33"/>
      <c r="K68" s="33"/>
      <c r="L68" s="33"/>
      <c r="M68" s="33"/>
    </row>
    <row r="69" spans="2:13" x14ac:dyDescent="0.35">
      <c r="B69" s="33"/>
      <c r="C69" s="33"/>
      <c r="D69" s="33"/>
      <c r="E69" s="33"/>
      <c r="F69" s="33"/>
      <c r="G69" s="33"/>
      <c r="H69" s="33"/>
      <c r="I69" s="33"/>
      <c r="J69" s="33"/>
      <c r="K69" s="33"/>
      <c r="L69" s="33"/>
      <c r="M69" s="33"/>
    </row>
    <row r="70" spans="2:13" x14ac:dyDescent="0.35">
      <c r="B70" s="33"/>
      <c r="C70" s="33"/>
      <c r="D70" s="33"/>
      <c r="E70" s="33"/>
      <c r="F70" s="33"/>
      <c r="G70" s="33"/>
      <c r="H70" s="33"/>
      <c r="I70" s="33"/>
      <c r="J70" s="33"/>
      <c r="K70" s="33"/>
      <c r="L70" s="33"/>
      <c r="M70" s="33"/>
    </row>
    <row r="71" spans="2:13" x14ac:dyDescent="0.35">
      <c r="B71" s="33"/>
      <c r="C71" s="33"/>
      <c r="D71" s="33"/>
      <c r="E71" s="33"/>
      <c r="F71" s="33"/>
      <c r="G71" s="33"/>
      <c r="H71" s="33"/>
      <c r="I71" s="33"/>
      <c r="J71" s="33"/>
      <c r="K71" s="33"/>
      <c r="L71" s="33"/>
      <c r="M71" s="33"/>
    </row>
    <row r="72" spans="2:13" x14ac:dyDescent="0.35">
      <c r="B72" s="33"/>
      <c r="C72" s="33"/>
      <c r="D72" s="33"/>
      <c r="E72" s="33"/>
      <c r="F72" s="33"/>
      <c r="G72" s="33"/>
      <c r="H72" s="33"/>
      <c r="I72" s="33"/>
      <c r="J72" s="33"/>
      <c r="K72" s="33"/>
      <c r="L72" s="33"/>
      <c r="M72" s="33"/>
    </row>
    <row r="73" spans="2:13" x14ac:dyDescent="0.35">
      <c r="B73" s="33"/>
      <c r="C73" s="33"/>
      <c r="D73" s="33"/>
      <c r="E73" s="33"/>
      <c r="F73" s="33"/>
      <c r="G73" s="33"/>
      <c r="H73" s="33"/>
      <c r="I73" s="33"/>
      <c r="J73" s="33"/>
      <c r="K73" s="33"/>
      <c r="L73" s="33"/>
      <c r="M73" s="33"/>
    </row>
    <row r="74" spans="2:13" x14ac:dyDescent="0.35">
      <c r="B74" s="33"/>
      <c r="C74" s="33"/>
      <c r="D74" s="33"/>
      <c r="E74" s="33"/>
      <c r="F74" s="33"/>
      <c r="G74" s="33"/>
      <c r="H74" s="33"/>
      <c r="I74" s="33"/>
      <c r="J74" s="33"/>
      <c r="K74" s="33"/>
      <c r="L74" s="33"/>
      <c r="M74" s="33"/>
    </row>
    <row r="75" spans="2:13" x14ac:dyDescent="0.35">
      <c r="B75" s="33"/>
      <c r="C75" s="33"/>
      <c r="D75" s="33"/>
      <c r="E75" s="33"/>
      <c r="F75" s="33"/>
      <c r="G75" s="33"/>
      <c r="H75" s="33"/>
      <c r="I75" s="33"/>
      <c r="J75" s="33"/>
      <c r="K75" s="33"/>
      <c r="L75" s="33"/>
      <c r="M75" s="33"/>
    </row>
    <row r="76" spans="2:13" x14ac:dyDescent="0.35">
      <c r="B76" s="33"/>
      <c r="C76" s="33"/>
      <c r="D76" s="33"/>
      <c r="E76" s="33"/>
      <c r="F76" s="33"/>
      <c r="G76" s="33"/>
      <c r="H76" s="33"/>
      <c r="I76" s="33"/>
      <c r="J76" s="33"/>
      <c r="K76" s="33"/>
      <c r="L76" s="33"/>
      <c r="M76" s="33"/>
    </row>
    <row r="77" spans="2:13" x14ac:dyDescent="0.35">
      <c r="B77" s="33"/>
      <c r="C77" s="33"/>
      <c r="D77" s="33"/>
      <c r="E77" s="33"/>
      <c r="F77" s="33"/>
      <c r="G77" s="33"/>
      <c r="H77" s="33"/>
      <c r="I77" s="33"/>
      <c r="J77" s="33"/>
      <c r="K77" s="33"/>
      <c r="L77" s="33"/>
      <c r="M77" s="33"/>
    </row>
    <row r="78" spans="2:13" x14ac:dyDescent="0.35">
      <c r="B78" s="33"/>
      <c r="C78" s="33"/>
      <c r="D78" s="33"/>
      <c r="E78" s="33"/>
      <c r="F78" s="33"/>
      <c r="G78" s="33"/>
      <c r="H78" s="33"/>
      <c r="I78" s="33"/>
      <c r="J78" s="33"/>
      <c r="K78" s="33"/>
      <c r="L78" s="33"/>
      <c r="M78" s="33"/>
    </row>
    <row r="79" spans="2:13" x14ac:dyDescent="0.35">
      <c r="B79" s="33"/>
      <c r="C79" s="33"/>
      <c r="D79" s="33"/>
      <c r="E79" s="33"/>
      <c r="F79" s="33"/>
      <c r="G79" s="33"/>
      <c r="H79" s="33"/>
      <c r="I79" s="33"/>
      <c r="J79" s="33"/>
      <c r="K79" s="33"/>
      <c r="L79" s="33"/>
      <c r="M79" s="33"/>
    </row>
    <row r="80" spans="2:13" x14ac:dyDescent="0.35">
      <c r="B80" s="33"/>
      <c r="C80" s="33"/>
      <c r="D80" s="33"/>
      <c r="E80" s="33"/>
      <c r="F80" s="33"/>
      <c r="G80" s="33"/>
      <c r="H80" s="33"/>
      <c r="I80" s="33"/>
      <c r="J80" s="33"/>
      <c r="K80" s="33"/>
      <c r="L80" s="33"/>
      <c r="M80" s="33"/>
    </row>
    <row r="81" spans="2:13" x14ac:dyDescent="0.35">
      <c r="B81" s="33"/>
      <c r="C81" s="33"/>
      <c r="D81" s="33"/>
      <c r="E81" s="33"/>
      <c r="F81" s="33"/>
      <c r="G81" s="33"/>
      <c r="H81" s="33"/>
      <c r="I81" s="33"/>
      <c r="J81" s="33"/>
      <c r="K81" s="33"/>
      <c r="L81" s="33"/>
      <c r="M81" s="33"/>
    </row>
    <row r="82" spans="2:13" x14ac:dyDescent="0.35">
      <c r="B82" s="33"/>
      <c r="C82" s="33"/>
      <c r="D82" s="33"/>
      <c r="E82" s="33"/>
      <c r="F82" s="33"/>
      <c r="G82" s="33"/>
      <c r="H82" s="33"/>
      <c r="I82" s="33"/>
      <c r="J82" s="33"/>
      <c r="K82" s="33"/>
      <c r="L82" s="33"/>
      <c r="M82" s="33"/>
    </row>
    <row r="83" spans="2:13" x14ac:dyDescent="0.35">
      <c r="B83" s="33"/>
      <c r="C83" s="33"/>
      <c r="D83" s="33"/>
      <c r="E83" s="33"/>
      <c r="F83" s="33"/>
      <c r="G83" s="33"/>
      <c r="H83" s="33"/>
      <c r="I83" s="33"/>
      <c r="J83" s="33"/>
      <c r="K83" s="33"/>
      <c r="L83" s="33"/>
      <c r="M83" s="33"/>
    </row>
    <row r="84" spans="2:13" x14ac:dyDescent="0.35">
      <c r="B84" s="33"/>
      <c r="C84" s="33"/>
      <c r="D84" s="33"/>
      <c r="E84" s="33"/>
      <c r="F84" s="33"/>
      <c r="G84" s="33"/>
      <c r="H84" s="33"/>
      <c r="I84" s="33"/>
      <c r="J84" s="33"/>
      <c r="K84" s="33"/>
      <c r="L84" s="33"/>
      <c r="M84" s="33"/>
    </row>
    <row r="85" spans="2:13" x14ac:dyDescent="0.35">
      <c r="B85" s="33"/>
      <c r="C85" s="33"/>
      <c r="D85" s="33"/>
      <c r="E85" s="33"/>
      <c r="F85" s="33"/>
      <c r="G85" s="33"/>
      <c r="H85" s="33"/>
      <c r="I85" s="33"/>
      <c r="J85" s="33"/>
      <c r="K85" s="33"/>
      <c r="L85" s="33"/>
      <c r="M85" s="33"/>
    </row>
    <row r="86" spans="2:13" x14ac:dyDescent="0.35">
      <c r="B86" s="33"/>
      <c r="C86" s="33"/>
      <c r="D86" s="33"/>
      <c r="E86" s="33"/>
      <c r="F86" s="33"/>
      <c r="G86" s="33"/>
      <c r="H86" s="33"/>
      <c r="I86" s="33"/>
      <c r="J86" s="33"/>
      <c r="K86" s="33"/>
      <c r="L86" s="33"/>
      <c r="M86" s="33"/>
    </row>
    <row r="87" spans="2:13" x14ac:dyDescent="0.35">
      <c r="B87" s="33"/>
      <c r="C87" s="33"/>
      <c r="D87" s="33"/>
      <c r="E87" s="33"/>
      <c r="F87" s="33"/>
      <c r="G87" s="33"/>
      <c r="H87" s="33"/>
      <c r="I87" s="33"/>
      <c r="J87" s="33"/>
      <c r="K87" s="33"/>
      <c r="L87" s="33"/>
      <c r="M87" s="33"/>
    </row>
    <row r="88" spans="2:13" x14ac:dyDescent="0.35">
      <c r="B88" s="33"/>
      <c r="C88" s="33"/>
      <c r="D88" s="33"/>
      <c r="E88" s="33"/>
      <c r="F88" s="33"/>
      <c r="G88" s="33"/>
      <c r="H88" s="33"/>
      <c r="I88" s="33"/>
      <c r="J88" s="33"/>
      <c r="K88" s="33"/>
      <c r="L88" s="33"/>
      <c r="M88" s="33"/>
    </row>
    <row r="89" spans="2:13" x14ac:dyDescent="0.35">
      <c r="B89" s="33"/>
      <c r="C89" s="33"/>
      <c r="D89" s="33"/>
      <c r="E89" s="33"/>
      <c r="F89" s="33"/>
      <c r="G89" s="33"/>
      <c r="H89" s="33"/>
      <c r="I89" s="33"/>
      <c r="J89" s="33"/>
      <c r="K89" s="33"/>
      <c r="L89" s="33"/>
      <c r="M89" s="33"/>
    </row>
    <row r="90" spans="2:13" x14ac:dyDescent="0.35">
      <c r="B90" s="33"/>
      <c r="C90" s="33"/>
      <c r="D90" s="33"/>
      <c r="E90" s="33"/>
      <c r="F90" s="33"/>
      <c r="G90" s="33"/>
      <c r="H90" s="33"/>
      <c r="I90" s="33"/>
      <c r="J90" s="33"/>
      <c r="K90" s="33"/>
      <c r="L90" s="33"/>
      <c r="M90" s="33"/>
    </row>
    <row r="91" spans="2:13" x14ac:dyDescent="0.35">
      <c r="B91" s="33"/>
      <c r="C91" s="33"/>
      <c r="D91" s="33"/>
      <c r="E91" s="33"/>
      <c r="F91" s="33"/>
      <c r="G91" s="33"/>
      <c r="H91" s="33"/>
      <c r="I91" s="33"/>
      <c r="J91" s="33"/>
      <c r="K91" s="33"/>
      <c r="L91" s="33"/>
      <c r="M91" s="33"/>
    </row>
    <row r="92" spans="2:13" x14ac:dyDescent="0.35">
      <c r="B92" s="33"/>
      <c r="C92" s="33"/>
      <c r="D92" s="33"/>
      <c r="E92" s="33"/>
      <c r="F92" s="33"/>
      <c r="G92" s="33"/>
      <c r="H92" s="33"/>
      <c r="I92" s="33"/>
      <c r="J92" s="33"/>
      <c r="K92" s="33"/>
      <c r="L92" s="33"/>
      <c r="M92" s="33"/>
    </row>
    <row r="93" spans="2:13" x14ac:dyDescent="0.35">
      <c r="B93" s="33"/>
      <c r="C93" s="33"/>
      <c r="D93" s="33"/>
      <c r="E93" s="33"/>
      <c r="F93" s="33"/>
      <c r="G93" s="33"/>
      <c r="H93" s="33"/>
      <c r="I93" s="33"/>
      <c r="J93" s="33"/>
      <c r="K93" s="33"/>
      <c r="L93" s="33"/>
      <c r="M93" s="33"/>
    </row>
    <row r="94" spans="2:13" x14ac:dyDescent="0.35">
      <c r="B94" s="33"/>
      <c r="C94" s="33"/>
      <c r="D94" s="33"/>
      <c r="E94" s="33"/>
      <c r="F94" s="33"/>
      <c r="G94" s="33"/>
      <c r="H94" s="33"/>
      <c r="I94" s="33"/>
      <c r="J94" s="33"/>
      <c r="K94" s="33"/>
      <c r="L94" s="33"/>
      <c r="M94" s="33"/>
    </row>
    <row r="95" spans="2:13" x14ac:dyDescent="0.35">
      <c r="B95" s="33"/>
      <c r="C95" s="33"/>
      <c r="D95" s="33"/>
      <c r="E95" s="33"/>
      <c r="F95" s="33"/>
      <c r="G95" s="33"/>
      <c r="H95" s="33"/>
      <c r="I95" s="33"/>
      <c r="J95" s="33"/>
      <c r="K95" s="33"/>
      <c r="L95" s="33"/>
      <c r="M95" s="33"/>
    </row>
    <row r="96" spans="2:13" x14ac:dyDescent="0.35">
      <c r="B96" s="33"/>
      <c r="C96" s="33"/>
      <c r="D96" s="33"/>
      <c r="E96" s="33"/>
      <c r="F96" s="33"/>
      <c r="G96" s="33"/>
      <c r="H96" s="33"/>
      <c r="I96" s="33"/>
      <c r="J96" s="33"/>
      <c r="K96" s="33"/>
      <c r="L96" s="33"/>
      <c r="M96" s="33"/>
    </row>
    <row r="97" spans="2:13" x14ac:dyDescent="0.35">
      <c r="B97" s="33"/>
      <c r="C97" s="33"/>
      <c r="D97" s="33"/>
      <c r="E97" s="33"/>
      <c r="F97" s="33"/>
      <c r="G97" s="33"/>
      <c r="H97" s="33"/>
      <c r="I97" s="33"/>
      <c r="J97" s="33"/>
      <c r="K97" s="33"/>
      <c r="L97" s="33"/>
      <c r="M97" s="33"/>
    </row>
    <row r="98" spans="2:13" x14ac:dyDescent="0.35">
      <c r="B98" s="33"/>
      <c r="C98" s="33"/>
      <c r="D98" s="33"/>
      <c r="E98" s="33"/>
      <c r="F98" s="33"/>
      <c r="G98" s="33"/>
      <c r="H98" s="33"/>
      <c r="I98" s="33"/>
      <c r="J98" s="33"/>
      <c r="K98" s="33"/>
      <c r="L98" s="33"/>
      <c r="M98" s="33"/>
    </row>
    <row r="99" spans="2:13" x14ac:dyDescent="0.35">
      <c r="B99" s="33"/>
      <c r="C99" s="33"/>
      <c r="D99" s="33"/>
      <c r="E99" s="33"/>
      <c r="F99" s="33"/>
      <c r="G99" s="33"/>
      <c r="H99" s="33"/>
      <c r="I99" s="33"/>
      <c r="J99" s="33"/>
      <c r="K99" s="33"/>
      <c r="L99" s="33"/>
      <c r="M99" s="33"/>
    </row>
    <row r="100" spans="2:13" x14ac:dyDescent="0.35">
      <c r="B100" s="33"/>
      <c r="C100" s="33"/>
      <c r="D100" s="33"/>
      <c r="E100" s="33"/>
      <c r="F100" s="33"/>
      <c r="G100" s="33"/>
      <c r="H100" s="33"/>
      <c r="I100" s="33"/>
      <c r="J100" s="33"/>
      <c r="K100" s="33"/>
      <c r="L100" s="33"/>
      <c r="M100" s="33"/>
    </row>
    <row r="101" spans="2:13" x14ac:dyDescent="0.35">
      <c r="B101" s="33"/>
      <c r="C101" s="33"/>
      <c r="D101" s="33"/>
      <c r="E101" s="33"/>
      <c r="F101" s="33"/>
      <c r="G101" s="33"/>
      <c r="H101" s="33"/>
      <c r="I101" s="33"/>
      <c r="J101" s="33"/>
      <c r="K101" s="33"/>
      <c r="L101" s="33"/>
      <c r="M101" s="33"/>
    </row>
    <row r="102" spans="2:13" x14ac:dyDescent="0.35">
      <c r="B102" s="33"/>
      <c r="C102" s="33"/>
      <c r="D102" s="33"/>
      <c r="E102" s="33"/>
      <c r="F102" s="33"/>
      <c r="G102" s="33"/>
      <c r="H102" s="33"/>
      <c r="I102" s="33"/>
      <c r="J102" s="33"/>
      <c r="K102" s="33"/>
      <c r="L102" s="33"/>
      <c r="M102" s="33"/>
    </row>
    <row r="103" spans="2:13" x14ac:dyDescent="0.35">
      <c r="B103" s="33"/>
      <c r="C103" s="33"/>
      <c r="D103" s="33"/>
      <c r="E103" s="33"/>
      <c r="F103" s="33"/>
      <c r="G103" s="33"/>
      <c r="H103" s="33"/>
      <c r="I103" s="33"/>
      <c r="J103" s="33"/>
      <c r="K103" s="33"/>
      <c r="L103" s="33"/>
      <c r="M103" s="33"/>
    </row>
    <row r="104" spans="2:13" x14ac:dyDescent="0.35">
      <c r="B104" s="33"/>
      <c r="C104" s="33"/>
      <c r="D104" s="33"/>
      <c r="E104" s="33"/>
      <c r="F104" s="33"/>
      <c r="G104" s="33"/>
      <c r="H104" s="33"/>
      <c r="I104" s="33"/>
      <c r="J104" s="33"/>
      <c r="K104" s="33"/>
      <c r="L104" s="33"/>
      <c r="M104" s="33"/>
    </row>
    <row r="105" spans="2:13" x14ac:dyDescent="0.35">
      <c r="B105" s="33"/>
      <c r="C105" s="33"/>
      <c r="D105" s="33"/>
      <c r="E105" s="33"/>
      <c r="F105" s="33"/>
      <c r="G105" s="33"/>
      <c r="H105" s="33"/>
      <c r="I105" s="33"/>
      <c r="J105" s="33"/>
      <c r="K105" s="33"/>
      <c r="L105" s="33"/>
      <c r="M105" s="33"/>
    </row>
    <row r="106" spans="2:13" x14ac:dyDescent="0.35">
      <c r="B106" s="33"/>
      <c r="C106" s="33"/>
      <c r="D106" s="33"/>
      <c r="E106" s="33"/>
      <c r="F106" s="33"/>
      <c r="G106" s="33"/>
      <c r="H106" s="33"/>
      <c r="I106" s="33"/>
      <c r="J106" s="33"/>
      <c r="K106" s="33"/>
      <c r="L106" s="33"/>
      <c r="M106" s="33"/>
    </row>
    <row r="107" spans="2:13" x14ac:dyDescent="0.35">
      <c r="B107" s="33"/>
      <c r="C107" s="33"/>
      <c r="D107" s="33"/>
      <c r="E107" s="33"/>
      <c r="F107" s="33"/>
      <c r="G107" s="33"/>
      <c r="H107" s="33"/>
      <c r="I107" s="33"/>
      <c r="J107" s="33"/>
      <c r="K107" s="33"/>
      <c r="L107" s="33"/>
      <c r="M107" s="33"/>
    </row>
    <row r="108" spans="2:13" x14ac:dyDescent="0.35">
      <c r="B108" s="33"/>
      <c r="C108" s="33"/>
      <c r="D108" s="33"/>
      <c r="E108" s="33"/>
      <c r="F108" s="33"/>
      <c r="G108" s="33"/>
      <c r="H108" s="33"/>
      <c r="I108" s="33"/>
      <c r="J108" s="33"/>
      <c r="K108" s="33"/>
      <c r="L108" s="33"/>
      <c r="M108" s="33"/>
    </row>
    <row r="109" spans="2:13" x14ac:dyDescent="0.35">
      <c r="B109" s="33"/>
      <c r="C109" s="33"/>
      <c r="D109" s="33"/>
      <c r="E109" s="33"/>
      <c r="F109" s="33"/>
      <c r="G109" s="33"/>
      <c r="H109" s="33"/>
      <c r="I109" s="33"/>
      <c r="J109" s="33"/>
      <c r="K109" s="33"/>
      <c r="L109" s="33"/>
      <c r="M109" s="33"/>
    </row>
    <row r="110" spans="2:13" x14ac:dyDescent="0.35">
      <c r="B110" s="33"/>
      <c r="C110" s="33"/>
      <c r="D110" s="33"/>
      <c r="E110" s="33"/>
      <c r="F110" s="33"/>
      <c r="G110" s="33"/>
      <c r="H110" s="33"/>
      <c r="I110" s="33"/>
      <c r="J110" s="33"/>
      <c r="K110" s="33"/>
      <c r="L110" s="33"/>
      <c r="M110" s="33"/>
    </row>
    <row r="111" spans="2:13" x14ac:dyDescent="0.35">
      <c r="B111" s="33"/>
      <c r="C111" s="33"/>
      <c r="D111" s="33"/>
      <c r="E111" s="33"/>
      <c r="F111" s="33"/>
      <c r="G111" s="33"/>
      <c r="H111" s="33"/>
      <c r="I111" s="33"/>
      <c r="J111" s="33"/>
      <c r="K111" s="33"/>
      <c r="L111" s="33"/>
      <c r="M111" s="33"/>
    </row>
    <row r="112" spans="2:13" x14ac:dyDescent="0.35">
      <c r="B112" s="33"/>
      <c r="C112" s="33"/>
      <c r="D112" s="33"/>
      <c r="E112" s="33"/>
      <c r="F112" s="33"/>
      <c r="G112" s="33"/>
      <c r="H112" s="33"/>
      <c r="I112" s="33"/>
      <c r="J112" s="33"/>
      <c r="K112" s="33"/>
      <c r="L112" s="33"/>
      <c r="M112" s="33"/>
    </row>
    <row r="113" spans="2:13" x14ac:dyDescent="0.35">
      <c r="B113" s="33"/>
      <c r="C113" s="33"/>
      <c r="D113" s="33"/>
      <c r="E113" s="33"/>
      <c r="F113" s="33"/>
      <c r="G113" s="33"/>
      <c r="H113" s="33"/>
      <c r="I113" s="33"/>
      <c r="J113" s="33"/>
      <c r="K113" s="33"/>
      <c r="L113" s="33"/>
      <c r="M113" s="33"/>
    </row>
    <row r="114" spans="2:13" x14ac:dyDescent="0.35">
      <c r="B114" s="33"/>
      <c r="C114" s="33"/>
      <c r="D114" s="33"/>
      <c r="E114" s="33"/>
      <c r="F114" s="33"/>
      <c r="G114" s="33"/>
      <c r="H114" s="33"/>
      <c r="I114" s="33"/>
      <c r="J114" s="33"/>
      <c r="K114" s="33"/>
      <c r="L114" s="33"/>
      <c r="M114" s="33"/>
    </row>
    <row r="115" spans="2:13" x14ac:dyDescent="0.35">
      <c r="B115" s="33"/>
      <c r="C115" s="33"/>
      <c r="D115" s="33"/>
      <c r="E115" s="33"/>
      <c r="F115" s="33"/>
      <c r="G115" s="33"/>
      <c r="H115" s="33"/>
      <c r="I115" s="33"/>
      <c r="J115" s="33"/>
      <c r="K115" s="33"/>
      <c r="L115" s="33"/>
      <c r="M115" s="33"/>
    </row>
    <row r="116" spans="2:13" x14ac:dyDescent="0.35">
      <c r="B116" s="33"/>
      <c r="C116" s="33"/>
      <c r="D116" s="33"/>
      <c r="E116" s="33"/>
      <c r="F116" s="33"/>
      <c r="G116" s="33"/>
      <c r="H116" s="33"/>
      <c r="I116" s="33"/>
      <c r="J116" s="33"/>
      <c r="K116" s="33"/>
      <c r="L116" s="33"/>
      <c r="M116" s="33"/>
    </row>
    <row r="117" spans="2:13" x14ac:dyDescent="0.35">
      <c r="B117" s="33"/>
      <c r="C117" s="33"/>
      <c r="D117" s="33"/>
      <c r="E117" s="33"/>
      <c r="F117" s="33"/>
      <c r="G117" s="33"/>
      <c r="H117" s="33"/>
      <c r="I117" s="33"/>
      <c r="J117" s="33"/>
      <c r="K117" s="33"/>
      <c r="L117" s="33"/>
      <c r="M117" s="33"/>
    </row>
    <row r="118" spans="2:13" x14ac:dyDescent="0.35">
      <c r="B118" s="33"/>
      <c r="C118" s="33"/>
      <c r="D118" s="33"/>
      <c r="E118" s="33"/>
      <c r="F118" s="33"/>
      <c r="G118" s="33"/>
      <c r="H118" s="33"/>
      <c r="I118" s="33"/>
      <c r="J118" s="33"/>
      <c r="K118" s="33"/>
      <c r="L118" s="33"/>
      <c r="M118" s="33"/>
    </row>
    <row r="119" spans="2:13" x14ac:dyDescent="0.35">
      <c r="B119" s="33"/>
      <c r="C119" s="33"/>
      <c r="D119" s="33"/>
      <c r="E119" s="33"/>
      <c r="F119" s="33"/>
      <c r="G119" s="33"/>
      <c r="H119" s="33"/>
      <c r="I119" s="33"/>
      <c r="J119" s="33"/>
      <c r="K119" s="33"/>
      <c r="L119" s="33"/>
      <c r="M119" s="33"/>
    </row>
    <row r="120" spans="2:13" x14ac:dyDescent="0.35">
      <c r="B120" s="33"/>
      <c r="C120" s="33"/>
      <c r="D120" s="33"/>
      <c r="E120" s="33"/>
      <c r="F120" s="33"/>
      <c r="G120" s="33"/>
      <c r="H120" s="33"/>
      <c r="I120" s="33"/>
      <c r="J120" s="33"/>
      <c r="K120" s="33"/>
      <c r="L120" s="33"/>
      <c r="M120" s="33"/>
    </row>
    <row r="121" spans="2:13" x14ac:dyDescent="0.35">
      <c r="B121" s="33"/>
      <c r="C121" s="33"/>
      <c r="D121" s="33"/>
      <c r="E121" s="33"/>
      <c r="F121" s="33"/>
      <c r="G121" s="33"/>
      <c r="H121" s="33"/>
      <c r="I121" s="33"/>
      <c r="J121" s="33"/>
      <c r="K121" s="33"/>
      <c r="L121" s="33"/>
      <c r="M121" s="33"/>
    </row>
  </sheetData>
  <sheetProtection algorithmName="SHA-512" hashValue="HlOncJqkGnXu3SJOkjkTnuuiRM0FmQx4cYhES6qpXda1Xq0A+f1ZDUShnNOXMDaBaz6KwMbz6wGH9o8MykjWIA==" saltValue="TFIHwm0kakHvt1Bmaee5jQ==" spinCount="100000" sheet="1" objects="1" scenarios="1" selectLockedCells="1" selectUnlockedCells="1"/>
  <mergeCells count="6">
    <mergeCell ref="B36:M36"/>
    <mergeCell ref="B3:N5"/>
    <mergeCell ref="B7:M7"/>
    <mergeCell ref="B8:M8"/>
    <mergeCell ref="B34:M34"/>
    <mergeCell ref="B35:M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H98"/>
  <sheetViews>
    <sheetView showRowColHeaders="0" topLeftCell="A16" zoomScaleNormal="100" workbookViewId="0"/>
  </sheetViews>
  <sheetFormatPr defaultColWidth="9.26953125" defaultRowHeight="14.5" x14ac:dyDescent="0.35"/>
  <cols>
    <col min="1" max="13" width="9.26953125" style="136"/>
    <col min="14" max="14" width="1.7265625" style="136" customWidth="1"/>
    <col min="15" max="25" width="9.26953125" style="136"/>
    <col min="26" max="26" width="6.1796875" style="136" customWidth="1"/>
    <col min="27" max="27" width="2.7265625" style="136" hidden="1" customWidth="1"/>
    <col min="28" max="29" width="9.26953125" style="136" hidden="1" customWidth="1"/>
    <col min="30" max="30" width="8.54296875" style="136" hidden="1" customWidth="1"/>
    <col min="31" max="31" width="0.453125" style="136" customWidth="1"/>
    <col min="32" max="16384" width="9.26953125" style="136"/>
  </cols>
  <sheetData>
    <row r="3" spans="1:34" ht="15.75" customHeight="1" x14ac:dyDescent="0.35">
      <c r="A3" s="212"/>
      <c r="B3" s="251" t="s">
        <v>230</v>
      </c>
      <c r="C3" s="251"/>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30"/>
      <c r="AG3" s="230"/>
      <c r="AH3" s="230"/>
    </row>
    <row r="4" spans="1:34" ht="15" customHeight="1" x14ac:dyDescent="0.35">
      <c r="A4" s="212"/>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30"/>
      <c r="AG4" s="230"/>
      <c r="AH4" s="230"/>
    </row>
    <row r="5" spans="1:34" ht="8.25" customHeight="1" x14ac:dyDescent="0.35">
      <c r="B5" s="131"/>
      <c r="C5" s="1"/>
      <c r="D5" s="1"/>
      <c r="E5" s="1"/>
      <c r="F5" s="1"/>
      <c r="G5" s="1"/>
      <c r="H5" s="1"/>
      <c r="I5" s="1"/>
      <c r="J5" s="1"/>
      <c r="K5" s="1"/>
      <c r="L5" s="1"/>
      <c r="M5" s="1"/>
      <c r="N5" s="121"/>
    </row>
    <row r="6" spans="1:34" ht="26.25" customHeight="1" x14ac:dyDescent="0.35">
      <c r="B6" s="245" t="s">
        <v>231</v>
      </c>
      <c r="C6" s="246"/>
      <c r="D6" s="246"/>
      <c r="E6" s="246"/>
      <c r="F6" s="246"/>
      <c r="G6" s="246"/>
      <c r="H6" s="246"/>
      <c r="I6" s="246"/>
      <c r="J6" s="246"/>
      <c r="K6" s="246"/>
      <c r="L6" s="246"/>
      <c r="M6" s="246"/>
      <c r="N6" s="121"/>
    </row>
    <row r="7" spans="1:34" ht="61.15" customHeight="1" x14ac:dyDescent="0.35">
      <c r="B7" s="249" t="s">
        <v>232</v>
      </c>
      <c r="C7" s="250"/>
      <c r="D7" s="250"/>
      <c r="E7" s="250"/>
      <c r="F7" s="250"/>
      <c r="G7" s="250"/>
      <c r="H7" s="250"/>
      <c r="I7" s="250"/>
      <c r="J7" s="250"/>
      <c r="K7" s="250"/>
      <c r="L7" s="250"/>
      <c r="M7" s="250"/>
      <c r="N7" s="121"/>
    </row>
    <row r="8" spans="1:34" ht="36.4" customHeight="1" x14ac:dyDescent="0.35">
      <c r="B8" s="249" t="s">
        <v>233</v>
      </c>
      <c r="C8" s="250"/>
      <c r="D8" s="250"/>
      <c r="E8" s="250"/>
      <c r="F8" s="250"/>
      <c r="G8" s="250"/>
      <c r="H8" s="250"/>
      <c r="I8" s="250"/>
      <c r="J8" s="250"/>
      <c r="K8" s="250"/>
      <c r="L8" s="250"/>
      <c r="M8" s="250"/>
      <c r="N8" s="121"/>
    </row>
    <row r="9" spans="1:34" ht="52.9" customHeight="1" x14ac:dyDescent="0.35">
      <c r="B9" s="249" t="s">
        <v>234</v>
      </c>
      <c r="C9" s="250"/>
      <c r="D9" s="250"/>
      <c r="E9" s="250"/>
      <c r="F9" s="250"/>
      <c r="G9" s="250"/>
      <c r="H9" s="250"/>
      <c r="I9" s="250"/>
      <c r="J9" s="250"/>
      <c r="K9" s="250"/>
      <c r="L9" s="250"/>
      <c r="M9" s="250"/>
      <c r="N9" s="121"/>
    </row>
    <row r="10" spans="1:34" ht="53.65" customHeight="1" x14ac:dyDescent="0.35">
      <c r="B10" s="249" t="s">
        <v>235</v>
      </c>
      <c r="C10" s="250"/>
      <c r="D10" s="250"/>
      <c r="E10" s="250"/>
      <c r="F10" s="250"/>
      <c r="G10" s="250"/>
      <c r="H10" s="250"/>
      <c r="I10" s="250"/>
      <c r="J10" s="250"/>
      <c r="K10" s="250"/>
      <c r="L10" s="250"/>
      <c r="M10" s="250"/>
      <c r="N10" s="121"/>
    </row>
    <row r="11" spans="1:34" ht="84" customHeight="1" x14ac:dyDescent="0.35">
      <c r="B11" s="249" t="s">
        <v>229</v>
      </c>
      <c r="C11" s="250"/>
      <c r="D11" s="250"/>
      <c r="E11" s="250"/>
      <c r="F11" s="250"/>
      <c r="G11" s="250"/>
      <c r="H11" s="250"/>
      <c r="I11" s="250"/>
      <c r="J11" s="250"/>
      <c r="K11" s="250"/>
      <c r="L11" s="250"/>
      <c r="M11" s="250"/>
      <c r="N11" s="121"/>
    </row>
    <row r="12" spans="1:34" ht="37.5" customHeight="1" x14ac:dyDescent="0.35">
      <c r="B12" s="249" t="s">
        <v>236</v>
      </c>
      <c r="C12" s="250"/>
      <c r="D12" s="250"/>
      <c r="E12" s="250"/>
      <c r="F12" s="250"/>
      <c r="G12" s="250"/>
      <c r="H12" s="250"/>
      <c r="I12" s="250"/>
      <c r="J12" s="250"/>
      <c r="K12" s="250"/>
      <c r="L12" s="250"/>
      <c r="M12" s="250"/>
      <c r="N12" s="121"/>
    </row>
    <row r="13" spans="1:34" ht="15" customHeight="1" thickBot="1" x14ac:dyDescent="0.4">
      <c r="B13" s="237"/>
      <c r="C13" s="238"/>
      <c r="D13" s="238"/>
      <c r="E13" s="238"/>
      <c r="F13" s="238"/>
      <c r="G13" s="238"/>
      <c r="H13" s="238"/>
      <c r="I13" s="238"/>
      <c r="J13" s="238"/>
      <c r="K13" s="238"/>
      <c r="L13" s="238"/>
      <c r="M13" s="238"/>
      <c r="N13" s="135"/>
    </row>
    <row r="14" spans="1:34" ht="15" thickTop="1" x14ac:dyDescent="0.35">
      <c r="B14" s="33"/>
      <c r="C14" s="33"/>
      <c r="D14" s="33"/>
      <c r="E14" s="33"/>
      <c r="F14" s="33"/>
      <c r="G14" s="33"/>
      <c r="H14" s="33"/>
      <c r="I14" s="33"/>
      <c r="J14" s="33"/>
      <c r="K14" s="33"/>
      <c r="L14" s="33"/>
      <c r="M14" s="33"/>
    </row>
    <row r="15" spans="1:34" x14ac:dyDescent="0.35">
      <c r="B15" s="33"/>
      <c r="C15" s="33"/>
      <c r="D15" s="33"/>
      <c r="E15" s="33"/>
      <c r="F15" s="33"/>
      <c r="G15" s="33"/>
      <c r="H15" s="33"/>
      <c r="I15" s="33"/>
      <c r="J15" s="33"/>
      <c r="K15" s="33"/>
      <c r="L15" s="33"/>
      <c r="M15" s="33"/>
    </row>
    <row r="16" spans="1:34" x14ac:dyDescent="0.35">
      <c r="B16" s="33"/>
      <c r="C16" s="33"/>
      <c r="D16" s="33"/>
      <c r="E16" s="33"/>
      <c r="F16" s="33"/>
      <c r="G16" s="33"/>
      <c r="H16" s="33"/>
      <c r="I16" s="33"/>
      <c r="J16" s="33"/>
      <c r="K16" s="33"/>
      <c r="L16" s="33"/>
      <c r="M16" s="33"/>
    </row>
    <row r="17" spans="2:13" x14ac:dyDescent="0.35">
      <c r="B17" s="33"/>
      <c r="C17" s="33"/>
      <c r="D17" s="33"/>
      <c r="E17" s="33"/>
      <c r="F17" s="33"/>
      <c r="G17" s="33"/>
      <c r="H17" s="33"/>
      <c r="I17" s="33"/>
      <c r="J17" s="33"/>
      <c r="K17" s="33"/>
      <c r="L17" s="33"/>
      <c r="M17" s="33"/>
    </row>
    <row r="18" spans="2:13" x14ac:dyDescent="0.35">
      <c r="B18" s="33"/>
      <c r="C18" s="33"/>
      <c r="D18" s="33"/>
      <c r="E18" s="33"/>
      <c r="F18" s="33"/>
      <c r="G18" s="33"/>
      <c r="H18" s="33"/>
      <c r="I18" s="33"/>
      <c r="J18" s="33"/>
      <c r="K18" s="33"/>
      <c r="L18" s="33"/>
      <c r="M18" s="33"/>
    </row>
    <row r="19" spans="2:13" x14ac:dyDescent="0.35">
      <c r="B19" s="33"/>
      <c r="C19" s="33"/>
      <c r="D19" s="33"/>
      <c r="E19" s="33"/>
      <c r="F19" s="33"/>
      <c r="G19" s="33"/>
      <c r="H19" s="33"/>
      <c r="I19" s="33"/>
      <c r="J19" s="33"/>
      <c r="K19" s="33"/>
      <c r="L19" s="33"/>
      <c r="M19" s="33"/>
    </row>
    <row r="20" spans="2:13" x14ac:dyDescent="0.35">
      <c r="B20" s="33"/>
      <c r="C20" s="33"/>
      <c r="D20" s="33"/>
      <c r="E20" s="33"/>
      <c r="F20" s="33"/>
      <c r="G20" s="33"/>
      <c r="H20" s="33"/>
      <c r="I20" s="33"/>
      <c r="J20" s="33"/>
      <c r="K20" s="33"/>
      <c r="L20" s="33"/>
      <c r="M20" s="33"/>
    </row>
    <row r="21" spans="2:13" x14ac:dyDescent="0.35">
      <c r="B21" s="33"/>
      <c r="C21" s="33"/>
      <c r="D21" s="33"/>
      <c r="E21" s="33"/>
      <c r="F21" s="33"/>
      <c r="G21" s="33"/>
      <c r="H21" s="33"/>
      <c r="I21" s="33"/>
      <c r="J21" s="33"/>
      <c r="K21" s="33"/>
      <c r="L21" s="33"/>
      <c r="M21" s="33"/>
    </row>
    <row r="22" spans="2:13" x14ac:dyDescent="0.35">
      <c r="B22" s="33"/>
      <c r="C22" s="33"/>
      <c r="D22" s="33"/>
      <c r="E22" s="33"/>
      <c r="F22" s="33"/>
      <c r="G22" s="33"/>
      <c r="H22" s="33"/>
      <c r="I22" s="33"/>
      <c r="J22" s="33"/>
      <c r="K22" s="33"/>
      <c r="L22" s="33"/>
      <c r="M22" s="33"/>
    </row>
    <row r="23" spans="2:13" x14ac:dyDescent="0.35">
      <c r="B23" s="33"/>
      <c r="C23" s="33"/>
      <c r="D23" s="33"/>
      <c r="E23" s="33"/>
      <c r="F23" s="33"/>
      <c r="G23" s="33"/>
      <c r="H23" s="33"/>
      <c r="I23" s="33"/>
      <c r="J23" s="33"/>
      <c r="K23" s="33"/>
      <c r="L23" s="33"/>
      <c r="M23" s="33"/>
    </row>
    <row r="24" spans="2:13" x14ac:dyDescent="0.35">
      <c r="B24" s="33"/>
      <c r="C24" s="33"/>
      <c r="D24" s="33"/>
      <c r="E24" s="33"/>
      <c r="F24" s="33"/>
      <c r="G24" s="33"/>
      <c r="H24" s="33"/>
      <c r="I24" s="33"/>
      <c r="J24" s="33"/>
      <c r="K24" s="33"/>
      <c r="L24" s="33"/>
      <c r="M24" s="33"/>
    </row>
    <row r="25" spans="2:13" x14ac:dyDescent="0.35">
      <c r="B25" s="33"/>
      <c r="C25" s="33"/>
      <c r="D25" s="33"/>
      <c r="E25" s="33"/>
      <c r="F25" s="33"/>
      <c r="G25" s="33"/>
      <c r="H25" s="33"/>
      <c r="I25" s="33"/>
      <c r="J25" s="33"/>
      <c r="K25" s="33"/>
      <c r="L25" s="33"/>
      <c r="M25" s="33"/>
    </row>
    <row r="26" spans="2:13" x14ac:dyDescent="0.35">
      <c r="B26" s="33"/>
      <c r="C26" s="33"/>
      <c r="D26" s="33"/>
      <c r="E26" s="33"/>
      <c r="F26" s="33"/>
      <c r="G26" s="33"/>
      <c r="H26" s="33"/>
      <c r="I26" s="33"/>
      <c r="J26" s="33"/>
      <c r="K26" s="33"/>
      <c r="L26" s="33"/>
      <c r="M26" s="33"/>
    </row>
    <row r="27" spans="2:13" x14ac:dyDescent="0.35">
      <c r="B27" s="33"/>
      <c r="C27" s="33"/>
      <c r="D27" s="33"/>
      <c r="E27" s="33"/>
      <c r="F27" s="33"/>
      <c r="G27" s="33"/>
      <c r="H27" s="33"/>
      <c r="I27" s="33"/>
      <c r="J27" s="33"/>
      <c r="K27" s="33"/>
      <c r="L27" s="33"/>
      <c r="M27" s="33"/>
    </row>
    <row r="28" spans="2:13" x14ac:dyDescent="0.35">
      <c r="B28" s="33"/>
      <c r="C28" s="33"/>
      <c r="D28" s="33"/>
      <c r="E28" s="33"/>
      <c r="F28" s="33"/>
      <c r="G28" s="33"/>
      <c r="H28" s="33"/>
      <c r="I28" s="33"/>
      <c r="J28" s="33"/>
      <c r="K28" s="33"/>
      <c r="L28" s="33"/>
      <c r="M28" s="33"/>
    </row>
    <row r="29" spans="2:13" x14ac:dyDescent="0.35">
      <c r="B29" s="33"/>
      <c r="C29" s="33"/>
      <c r="D29" s="33"/>
      <c r="E29" s="33"/>
      <c r="F29" s="33"/>
      <c r="G29" s="33"/>
      <c r="H29" s="33"/>
      <c r="I29" s="33"/>
      <c r="J29" s="33"/>
      <c r="K29" s="33"/>
      <c r="L29" s="33"/>
      <c r="M29" s="33"/>
    </row>
    <row r="30" spans="2:13" x14ac:dyDescent="0.35">
      <c r="B30" s="33"/>
      <c r="C30" s="33"/>
      <c r="D30" s="33"/>
      <c r="E30" s="33"/>
      <c r="F30" s="33"/>
      <c r="G30" s="33"/>
      <c r="H30" s="33"/>
      <c r="I30" s="33"/>
      <c r="J30" s="33"/>
      <c r="K30" s="33"/>
      <c r="L30" s="33"/>
      <c r="M30" s="33"/>
    </row>
    <row r="31" spans="2:13" x14ac:dyDescent="0.35">
      <c r="B31" s="33"/>
      <c r="C31" s="33"/>
      <c r="D31" s="33"/>
      <c r="E31" s="33"/>
      <c r="F31" s="33"/>
      <c r="G31" s="33"/>
      <c r="H31" s="33"/>
      <c r="I31" s="33"/>
      <c r="J31" s="33"/>
      <c r="K31" s="33"/>
      <c r="L31" s="33"/>
      <c r="M31" s="33"/>
    </row>
    <row r="32" spans="2:13" x14ac:dyDescent="0.35">
      <c r="B32" s="33"/>
      <c r="C32" s="33"/>
      <c r="D32" s="33"/>
      <c r="E32" s="33"/>
      <c r="F32" s="33"/>
      <c r="G32" s="33"/>
      <c r="H32" s="33"/>
      <c r="I32" s="33"/>
      <c r="J32" s="33"/>
      <c r="K32" s="33"/>
      <c r="L32" s="33"/>
      <c r="M32" s="33"/>
    </row>
    <row r="33" spans="2:13" x14ac:dyDescent="0.35">
      <c r="B33" s="33"/>
      <c r="C33" s="33"/>
      <c r="D33" s="33"/>
      <c r="E33" s="33"/>
      <c r="F33" s="33"/>
      <c r="G33" s="33"/>
      <c r="H33" s="33"/>
      <c r="I33" s="33"/>
      <c r="J33" s="33"/>
      <c r="K33" s="33"/>
      <c r="L33" s="33"/>
      <c r="M33" s="33"/>
    </row>
    <row r="34" spans="2:13" x14ac:dyDescent="0.35">
      <c r="B34" s="33"/>
      <c r="C34" s="33"/>
      <c r="D34" s="33"/>
      <c r="E34" s="33"/>
      <c r="F34" s="33"/>
      <c r="G34" s="33"/>
      <c r="H34" s="33"/>
      <c r="I34" s="33"/>
      <c r="J34" s="33"/>
      <c r="K34" s="33"/>
      <c r="L34" s="33"/>
      <c r="M34" s="33"/>
    </row>
    <row r="35" spans="2:13" x14ac:dyDescent="0.35">
      <c r="B35" s="33"/>
      <c r="C35" s="33"/>
      <c r="D35" s="33"/>
      <c r="E35" s="33"/>
      <c r="F35" s="33"/>
      <c r="G35" s="33"/>
      <c r="H35" s="33"/>
      <c r="I35" s="33"/>
      <c r="J35" s="33"/>
      <c r="K35" s="33"/>
      <c r="L35" s="33"/>
      <c r="M35" s="33"/>
    </row>
    <row r="36" spans="2:13" x14ac:dyDescent="0.35">
      <c r="B36" s="33"/>
      <c r="C36" s="33"/>
      <c r="D36" s="33"/>
      <c r="E36" s="33"/>
      <c r="F36" s="33"/>
      <c r="G36" s="33"/>
      <c r="H36" s="33"/>
      <c r="I36" s="33"/>
      <c r="J36" s="33"/>
      <c r="K36" s="33"/>
      <c r="L36" s="33"/>
      <c r="M36" s="33"/>
    </row>
    <row r="37" spans="2:13" x14ac:dyDescent="0.35">
      <c r="B37" s="33"/>
      <c r="C37" s="33"/>
      <c r="D37" s="33"/>
      <c r="E37" s="33"/>
      <c r="F37" s="33"/>
      <c r="G37" s="33"/>
      <c r="H37" s="33"/>
      <c r="I37" s="33"/>
      <c r="J37" s="33"/>
      <c r="K37" s="33"/>
      <c r="L37" s="33"/>
      <c r="M37" s="33"/>
    </row>
    <row r="38" spans="2:13" x14ac:dyDescent="0.35">
      <c r="B38" s="33"/>
      <c r="C38" s="33"/>
      <c r="D38" s="33"/>
      <c r="E38" s="33"/>
      <c r="F38" s="33"/>
      <c r="G38" s="33"/>
      <c r="H38" s="33"/>
      <c r="I38" s="33"/>
      <c r="J38" s="33"/>
      <c r="K38" s="33"/>
      <c r="L38" s="33"/>
      <c r="M38" s="33"/>
    </row>
    <row r="39" spans="2:13" x14ac:dyDescent="0.35">
      <c r="B39" s="33"/>
      <c r="C39" s="33"/>
      <c r="D39" s="33"/>
      <c r="E39" s="33"/>
      <c r="F39" s="33"/>
      <c r="G39" s="33"/>
      <c r="H39" s="33"/>
      <c r="I39" s="33"/>
      <c r="J39" s="33"/>
      <c r="K39" s="33"/>
      <c r="L39" s="33"/>
      <c r="M39" s="33"/>
    </row>
    <row r="40" spans="2:13" x14ac:dyDescent="0.35">
      <c r="B40" s="33"/>
      <c r="C40" s="33"/>
      <c r="D40" s="33"/>
      <c r="E40" s="33"/>
      <c r="F40" s="33"/>
      <c r="G40" s="33"/>
      <c r="H40" s="33"/>
      <c r="I40" s="33"/>
      <c r="J40" s="33"/>
      <c r="K40" s="33"/>
      <c r="L40" s="33"/>
      <c r="M40" s="33"/>
    </row>
    <row r="41" spans="2:13" x14ac:dyDescent="0.35">
      <c r="B41" s="33"/>
      <c r="C41" s="33"/>
      <c r="D41" s="33"/>
      <c r="E41" s="33"/>
      <c r="F41" s="33"/>
      <c r="G41" s="33"/>
      <c r="H41" s="33"/>
      <c r="I41" s="33"/>
      <c r="J41" s="33"/>
      <c r="K41" s="33"/>
      <c r="L41" s="33"/>
      <c r="M41" s="33"/>
    </row>
    <row r="42" spans="2:13" x14ac:dyDescent="0.35">
      <c r="B42" s="33"/>
      <c r="C42" s="33"/>
      <c r="D42" s="33"/>
      <c r="E42" s="33"/>
      <c r="F42" s="33"/>
      <c r="G42" s="33"/>
      <c r="H42" s="33"/>
      <c r="I42" s="33"/>
      <c r="J42" s="33"/>
      <c r="K42" s="33"/>
      <c r="L42" s="33"/>
      <c r="M42" s="33"/>
    </row>
    <row r="43" spans="2:13" x14ac:dyDescent="0.35">
      <c r="B43" s="33"/>
      <c r="C43" s="33"/>
      <c r="D43" s="33"/>
      <c r="E43" s="33"/>
      <c r="F43" s="33"/>
      <c r="G43" s="33"/>
      <c r="H43" s="33"/>
      <c r="I43" s="33"/>
      <c r="J43" s="33"/>
      <c r="K43" s="33"/>
      <c r="L43" s="33"/>
      <c r="M43" s="33"/>
    </row>
    <row r="44" spans="2:13" x14ac:dyDescent="0.35">
      <c r="B44" s="33"/>
      <c r="C44" s="33"/>
      <c r="D44" s="33"/>
      <c r="E44" s="33"/>
      <c r="F44" s="33"/>
      <c r="G44" s="33"/>
      <c r="H44" s="33"/>
      <c r="I44" s="33"/>
      <c r="J44" s="33"/>
      <c r="K44" s="33"/>
      <c r="L44" s="33"/>
      <c r="M44" s="33"/>
    </row>
    <row r="45" spans="2:13" x14ac:dyDescent="0.35">
      <c r="B45" s="33"/>
      <c r="C45" s="33"/>
      <c r="D45" s="33"/>
      <c r="E45" s="33"/>
      <c r="F45" s="33"/>
      <c r="G45" s="33"/>
      <c r="H45" s="33"/>
      <c r="I45" s="33"/>
      <c r="J45" s="33"/>
      <c r="K45" s="33"/>
      <c r="L45" s="33"/>
      <c r="M45" s="33"/>
    </row>
    <row r="46" spans="2:13" x14ac:dyDescent="0.35">
      <c r="B46" s="33"/>
      <c r="C46" s="33"/>
      <c r="D46" s="33"/>
      <c r="E46" s="33"/>
      <c r="F46" s="33"/>
      <c r="G46" s="33"/>
      <c r="H46" s="33"/>
      <c r="I46" s="33"/>
      <c r="J46" s="33"/>
      <c r="K46" s="33"/>
      <c r="L46" s="33"/>
      <c r="M46" s="33"/>
    </row>
    <row r="47" spans="2:13" x14ac:dyDescent="0.35">
      <c r="B47" s="33"/>
      <c r="C47" s="33"/>
      <c r="D47" s="33"/>
      <c r="E47" s="33"/>
      <c r="F47" s="33"/>
      <c r="G47" s="33"/>
      <c r="H47" s="33"/>
      <c r="I47" s="33"/>
      <c r="J47" s="33"/>
      <c r="K47" s="33"/>
      <c r="L47" s="33"/>
      <c r="M47" s="33"/>
    </row>
    <row r="48" spans="2:13" x14ac:dyDescent="0.35">
      <c r="B48" s="33"/>
      <c r="C48" s="33"/>
      <c r="D48" s="33"/>
      <c r="E48" s="33"/>
      <c r="F48" s="33"/>
      <c r="G48" s="33"/>
      <c r="H48" s="33"/>
      <c r="I48" s="33"/>
      <c r="J48" s="33"/>
      <c r="K48" s="33"/>
      <c r="L48" s="33"/>
      <c r="M48" s="33"/>
    </row>
    <row r="49" spans="2:13" x14ac:dyDescent="0.35">
      <c r="B49" s="33"/>
      <c r="C49" s="33"/>
      <c r="D49" s="33"/>
      <c r="E49" s="33"/>
      <c r="F49" s="33"/>
      <c r="G49" s="33"/>
      <c r="H49" s="33"/>
      <c r="I49" s="33"/>
      <c r="J49" s="33"/>
      <c r="K49" s="33"/>
      <c r="L49" s="33"/>
      <c r="M49" s="33"/>
    </row>
    <row r="50" spans="2:13" x14ac:dyDescent="0.35">
      <c r="B50" s="33"/>
      <c r="C50" s="33"/>
      <c r="D50" s="33"/>
      <c r="E50" s="33"/>
      <c r="F50" s="33"/>
      <c r="G50" s="33"/>
      <c r="H50" s="33"/>
      <c r="I50" s="33"/>
      <c r="J50" s="33"/>
      <c r="K50" s="33"/>
      <c r="L50" s="33"/>
      <c r="M50" s="33"/>
    </row>
    <row r="51" spans="2:13" x14ac:dyDescent="0.35">
      <c r="B51" s="33"/>
      <c r="C51" s="33"/>
      <c r="D51" s="33"/>
      <c r="E51" s="33"/>
      <c r="F51" s="33"/>
      <c r="G51" s="33"/>
      <c r="H51" s="33"/>
      <c r="I51" s="33"/>
      <c r="J51" s="33"/>
      <c r="K51" s="33"/>
      <c r="L51" s="33"/>
      <c r="M51" s="33"/>
    </row>
    <row r="52" spans="2:13" x14ac:dyDescent="0.35">
      <c r="B52" s="33"/>
      <c r="C52" s="33"/>
      <c r="D52" s="33"/>
      <c r="E52" s="33"/>
      <c r="F52" s="33"/>
      <c r="G52" s="33"/>
      <c r="H52" s="33"/>
      <c r="I52" s="33"/>
      <c r="J52" s="33"/>
      <c r="K52" s="33"/>
      <c r="L52" s="33"/>
      <c r="M52" s="33"/>
    </row>
    <row r="53" spans="2:13" x14ac:dyDescent="0.35">
      <c r="B53" s="33"/>
      <c r="C53" s="33"/>
      <c r="D53" s="33"/>
      <c r="E53" s="33"/>
      <c r="F53" s="33"/>
      <c r="G53" s="33"/>
      <c r="H53" s="33"/>
      <c r="I53" s="33"/>
      <c r="J53" s="33"/>
      <c r="K53" s="33"/>
      <c r="L53" s="33"/>
      <c r="M53" s="33"/>
    </row>
    <row r="54" spans="2:13" x14ac:dyDescent="0.35">
      <c r="B54" s="33"/>
      <c r="C54" s="33"/>
      <c r="D54" s="33"/>
      <c r="E54" s="33"/>
      <c r="F54" s="33"/>
      <c r="G54" s="33"/>
      <c r="H54" s="33"/>
      <c r="I54" s="33"/>
      <c r="J54" s="33"/>
      <c r="K54" s="33"/>
      <c r="L54" s="33"/>
      <c r="M54" s="33"/>
    </row>
    <row r="55" spans="2:13" x14ac:dyDescent="0.35">
      <c r="B55" s="33"/>
      <c r="C55" s="33"/>
      <c r="D55" s="33"/>
      <c r="E55" s="33"/>
      <c r="F55" s="33"/>
      <c r="G55" s="33"/>
      <c r="H55" s="33"/>
      <c r="I55" s="33"/>
      <c r="J55" s="33"/>
      <c r="K55" s="33"/>
      <c r="L55" s="33"/>
      <c r="M55" s="33"/>
    </row>
    <row r="56" spans="2:13" x14ac:dyDescent="0.35">
      <c r="B56" s="33"/>
      <c r="C56" s="33"/>
      <c r="D56" s="33"/>
      <c r="E56" s="33"/>
      <c r="F56" s="33"/>
      <c r="G56" s="33"/>
      <c r="H56" s="33"/>
      <c r="I56" s="33"/>
      <c r="J56" s="33"/>
      <c r="K56" s="33"/>
      <c r="L56" s="33"/>
      <c r="M56" s="33"/>
    </row>
    <row r="57" spans="2:13" x14ac:dyDescent="0.35">
      <c r="B57" s="33"/>
      <c r="C57" s="33"/>
      <c r="D57" s="33"/>
      <c r="E57" s="33"/>
      <c r="F57" s="33"/>
      <c r="G57" s="33"/>
      <c r="H57" s="33"/>
      <c r="I57" s="33"/>
      <c r="J57" s="33"/>
      <c r="K57" s="33"/>
      <c r="L57" s="33"/>
      <c r="M57" s="33"/>
    </row>
    <row r="58" spans="2:13" x14ac:dyDescent="0.35">
      <c r="B58" s="33"/>
      <c r="C58" s="33"/>
      <c r="D58" s="33"/>
      <c r="E58" s="33"/>
      <c r="F58" s="33"/>
      <c r="G58" s="33"/>
      <c r="H58" s="33"/>
      <c r="I58" s="33"/>
      <c r="J58" s="33"/>
      <c r="K58" s="33"/>
      <c r="L58" s="33"/>
      <c r="M58" s="33"/>
    </row>
    <row r="59" spans="2:13" x14ac:dyDescent="0.35">
      <c r="B59" s="33"/>
      <c r="C59" s="33"/>
      <c r="D59" s="33"/>
      <c r="E59" s="33"/>
      <c r="F59" s="33"/>
      <c r="G59" s="33"/>
      <c r="H59" s="33"/>
      <c r="I59" s="33"/>
      <c r="J59" s="33"/>
      <c r="K59" s="33"/>
      <c r="L59" s="33"/>
      <c r="M59" s="33"/>
    </row>
    <row r="60" spans="2:13" x14ac:dyDescent="0.35">
      <c r="B60" s="33"/>
      <c r="C60" s="33"/>
      <c r="D60" s="33"/>
      <c r="E60" s="33"/>
      <c r="F60" s="33"/>
      <c r="G60" s="33"/>
      <c r="H60" s="33"/>
      <c r="I60" s="33"/>
      <c r="J60" s="33"/>
      <c r="K60" s="33"/>
      <c r="L60" s="33"/>
      <c r="M60" s="33"/>
    </row>
    <row r="61" spans="2:13" x14ac:dyDescent="0.35">
      <c r="B61" s="33"/>
      <c r="C61" s="33"/>
      <c r="D61" s="33"/>
      <c r="E61" s="33"/>
      <c r="F61" s="33"/>
      <c r="G61" s="33"/>
      <c r="H61" s="33"/>
      <c r="I61" s="33"/>
      <c r="J61" s="33"/>
      <c r="K61" s="33"/>
      <c r="L61" s="33"/>
      <c r="M61" s="33"/>
    </row>
    <row r="62" spans="2:13" x14ac:dyDescent="0.35">
      <c r="B62" s="33"/>
      <c r="C62" s="33"/>
      <c r="D62" s="33"/>
      <c r="E62" s="33"/>
      <c r="F62" s="33"/>
      <c r="G62" s="33"/>
      <c r="H62" s="33"/>
      <c r="I62" s="33"/>
      <c r="J62" s="33"/>
      <c r="K62" s="33"/>
      <c r="L62" s="33"/>
      <c r="M62" s="33"/>
    </row>
    <row r="63" spans="2:13" x14ac:dyDescent="0.35">
      <c r="B63" s="33"/>
      <c r="C63" s="33"/>
      <c r="D63" s="33"/>
      <c r="E63" s="33"/>
      <c r="F63" s="33"/>
      <c r="G63" s="33"/>
      <c r="H63" s="33"/>
      <c r="I63" s="33"/>
      <c r="J63" s="33"/>
      <c r="K63" s="33"/>
      <c r="L63" s="33"/>
      <c r="M63" s="33"/>
    </row>
    <row r="64" spans="2:13" x14ac:dyDescent="0.35">
      <c r="B64" s="33"/>
      <c r="C64" s="33"/>
      <c r="D64" s="33"/>
      <c r="E64" s="33"/>
      <c r="F64" s="33"/>
      <c r="G64" s="33"/>
      <c r="H64" s="33"/>
      <c r="I64" s="33"/>
      <c r="J64" s="33"/>
      <c r="K64" s="33"/>
      <c r="L64" s="33"/>
      <c r="M64" s="33"/>
    </row>
    <row r="65" spans="2:13" x14ac:dyDescent="0.35">
      <c r="B65" s="33"/>
      <c r="C65" s="33"/>
      <c r="D65" s="33"/>
      <c r="E65" s="33"/>
      <c r="F65" s="33"/>
      <c r="G65" s="33"/>
      <c r="H65" s="33"/>
      <c r="I65" s="33"/>
      <c r="J65" s="33"/>
      <c r="K65" s="33"/>
      <c r="L65" s="33"/>
      <c r="M65" s="33"/>
    </row>
    <row r="66" spans="2:13" x14ac:dyDescent="0.35">
      <c r="B66" s="33"/>
      <c r="C66" s="33"/>
      <c r="D66" s="33"/>
      <c r="E66" s="33"/>
      <c r="F66" s="33"/>
      <c r="G66" s="33"/>
      <c r="H66" s="33"/>
      <c r="I66" s="33"/>
      <c r="J66" s="33"/>
      <c r="K66" s="33"/>
      <c r="L66" s="33"/>
      <c r="M66" s="33"/>
    </row>
    <row r="67" spans="2:13" x14ac:dyDescent="0.35">
      <c r="B67" s="33"/>
      <c r="C67" s="33"/>
      <c r="D67" s="33"/>
      <c r="E67" s="33"/>
      <c r="F67" s="33"/>
      <c r="G67" s="33"/>
      <c r="H67" s="33"/>
      <c r="I67" s="33"/>
      <c r="J67" s="33"/>
      <c r="K67" s="33"/>
      <c r="L67" s="33"/>
      <c r="M67" s="33"/>
    </row>
    <row r="68" spans="2:13" x14ac:dyDescent="0.35">
      <c r="B68" s="33"/>
      <c r="C68" s="33"/>
      <c r="D68" s="33"/>
      <c r="E68" s="33"/>
      <c r="F68" s="33"/>
      <c r="G68" s="33"/>
      <c r="H68" s="33"/>
      <c r="I68" s="33"/>
      <c r="J68" s="33"/>
      <c r="K68" s="33"/>
      <c r="L68" s="33"/>
      <c r="M68" s="33"/>
    </row>
    <row r="69" spans="2:13" x14ac:dyDescent="0.35">
      <c r="B69" s="33"/>
      <c r="C69" s="33"/>
      <c r="D69" s="33"/>
      <c r="E69" s="33"/>
      <c r="F69" s="33"/>
      <c r="G69" s="33"/>
      <c r="H69" s="33"/>
      <c r="I69" s="33"/>
      <c r="J69" s="33"/>
      <c r="K69" s="33"/>
      <c r="L69" s="33"/>
      <c r="M69" s="33"/>
    </row>
    <row r="70" spans="2:13" x14ac:dyDescent="0.35">
      <c r="B70" s="33"/>
      <c r="C70" s="33"/>
      <c r="D70" s="33"/>
      <c r="E70" s="33"/>
      <c r="F70" s="33"/>
      <c r="G70" s="33"/>
      <c r="H70" s="33"/>
      <c r="I70" s="33"/>
      <c r="J70" s="33"/>
      <c r="K70" s="33"/>
      <c r="L70" s="33"/>
      <c r="M70" s="33"/>
    </row>
    <row r="71" spans="2:13" x14ac:dyDescent="0.35">
      <c r="B71" s="33"/>
      <c r="C71" s="33"/>
      <c r="D71" s="33"/>
      <c r="E71" s="33"/>
      <c r="F71" s="33"/>
      <c r="G71" s="33"/>
      <c r="H71" s="33"/>
      <c r="I71" s="33"/>
      <c r="J71" s="33"/>
      <c r="K71" s="33"/>
      <c r="L71" s="33"/>
      <c r="M71" s="33"/>
    </row>
    <row r="72" spans="2:13" x14ac:dyDescent="0.35">
      <c r="B72" s="33"/>
      <c r="C72" s="33"/>
      <c r="D72" s="33"/>
      <c r="E72" s="33"/>
      <c r="F72" s="33"/>
      <c r="G72" s="33"/>
      <c r="H72" s="33"/>
      <c r="I72" s="33"/>
      <c r="J72" s="33"/>
      <c r="K72" s="33"/>
      <c r="L72" s="33"/>
      <c r="M72" s="33"/>
    </row>
    <row r="73" spans="2:13" x14ac:dyDescent="0.35">
      <c r="B73" s="33"/>
      <c r="C73" s="33"/>
      <c r="D73" s="33"/>
      <c r="E73" s="33"/>
      <c r="F73" s="33"/>
      <c r="G73" s="33"/>
      <c r="H73" s="33"/>
      <c r="I73" s="33"/>
      <c r="J73" s="33"/>
      <c r="K73" s="33"/>
      <c r="L73" s="33"/>
      <c r="M73" s="33"/>
    </row>
    <row r="74" spans="2:13" x14ac:dyDescent="0.35">
      <c r="B74" s="33"/>
      <c r="C74" s="33"/>
      <c r="D74" s="33"/>
      <c r="E74" s="33"/>
      <c r="F74" s="33"/>
      <c r="G74" s="33"/>
      <c r="H74" s="33"/>
      <c r="I74" s="33"/>
      <c r="J74" s="33"/>
      <c r="K74" s="33"/>
      <c r="L74" s="33"/>
      <c r="M74" s="33"/>
    </row>
    <row r="75" spans="2:13" x14ac:dyDescent="0.35">
      <c r="B75" s="33"/>
      <c r="C75" s="33"/>
      <c r="D75" s="33"/>
      <c r="E75" s="33"/>
      <c r="F75" s="33"/>
      <c r="G75" s="33"/>
      <c r="H75" s="33"/>
      <c r="I75" s="33"/>
      <c r="J75" s="33"/>
      <c r="K75" s="33"/>
      <c r="L75" s="33"/>
      <c r="M75" s="33"/>
    </row>
    <row r="76" spans="2:13" x14ac:dyDescent="0.35">
      <c r="B76" s="33"/>
      <c r="C76" s="33"/>
      <c r="D76" s="33"/>
      <c r="E76" s="33"/>
      <c r="F76" s="33"/>
      <c r="G76" s="33"/>
      <c r="H76" s="33"/>
      <c r="I76" s="33"/>
      <c r="J76" s="33"/>
      <c r="K76" s="33"/>
      <c r="L76" s="33"/>
      <c r="M76" s="33"/>
    </row>
    <row r="77" spans="2:13" x14ac:dyDescent="0.35">
      <c r="B77" s="33"/>
      <c r="C77" s="33"/>
      <c r="D77" s="33"/>
      <c r="E77" s="33"/>
      <c r="F77" s="33"/>
      <c r="G77" s="33"/>
      <c r="H77" s="33"/>
      <c r="I77" s="33"/>
      <c r="J77" s="33"/>
      <c r="K77" s="33"/>
      <c r="L77" s="33"/>
      <c r="M77" s="33"/>
    </row>
    <row r="78" spans="2:13" x14ac:dyDescent="0.35">
      <c r="B78" s="33"/>
      <c r="C78" s="33"/>
      <c r="D78" s="33"/>
      <c r="E78" s="33"/>
      <c r="F78" s="33"/>
      <c r="G78" s="33"/>
      <c r="H78" s="33"/>
      <c r="I78" s="33"/>
      <c r="J78" s="33"/>
      <c r="K78" s="33"/>
      <c r="L78" s="33"/>
      <c r="M78" s="33"/>
    </row>
    <row r="79" spans="2:13" x14ac:dyDescent="0.35">
      <c r="B79" s="33"/>
      <c r="C79" s="33"/>
      <c r="D79" s="33"/>
      <c r="E79" s="33"/>
      <c r="F79" s="33"/>
      <c r="G79" s="33"/>
      <c r="H79" s="33"/>
      <c r="I79" s="33"/>
      <c r="J79" s="33"/>
      <c r="K79" s="33"/>
      <c r="L79" s="33"/>
      <c r="M79" s="33"/>
    </row>
    <row r="80" spans="2:13" x14ac:dyDescent="0.35">
      <c r="B80" s="33"/>
      <c r="C80" s="33"/>
      <c r="D80" s="33"/>
      <c r="E80" s="33"/>
      <c r="F80" s="33"/>
      <c r="G80" s="33"/>
      <c r="H80" s="33"/>
      <c r="I80" s="33"/>
      <c r="J80" s="33"/>
      <c r="K80" s="33"/>
      <c r="L80" s="33"/>
      <c r="M80" s="33"/>
    </row>
    <row r="81" spans="2:13" x14ac:dyDescent="0.35">
      <c r="B81" s="33"/>
      <c r="C81" s="33"/>
      <c r="D81" s="33"/>
      <c r="E81" s="33"/>
      <c r="F81" s="33"/>
      <c r="G81" s="33"/>
      <c r="H81" s="33"/>
      <c r="I81" s="33"/>
      <c r="J81" s="33"/>
      <c r="K81" s="33"/>
      <c r="L81" s="33"/>
      <c r="M81" s="33"/>
    </row>
    <row r="82" spans="2:13" x14ac:dyDescent="0.35">
      <c r="B82" s="33"/>
      <c r="C82" s="33"/>
      <c r="D82" s="33"/>
      <c r="E82" s="33"/>
      <c r="F82" s="33"/>
      <c r="G82" s="33"/>
      <c r="H82" s="33"/>
      <c r="I82" s="33"/>
      <c r="J82" s="33"/>
      <c r="K82" s="33"/>
      <c r="L82" s="33"/>
      <c r="M82" s="33"/>
    </row>
    <row r="83" spans="2:13" x14ac:dyDescent="0.35">
      <c r="B83" s="33"/>
      <c r="C83" s="33"/>
      <c r="D83" s="33"/>
      <c r="E83" s="33"/>
      <c r="F83" s="33"/>
      <c r="G83" s="33"/>
      <c r="H83" s="33"/>
      <c r="I83" s="33"/>
      <c r="J83" s="33"/>
      <c r="K83" s="33"/>
      <c r="L83" s="33"/>
      <c r="M83" s="33"/>
    </row>
    <row r="84" spans="2:13" x14ac:dyDescent="0.35">
      <c r="B84" s="33"/>
      <c r="C84" s="33"/>
      <c r="D84" s="33"/>
      <c r="E84" s="33"/>
      <c r="F84" s="33"/>
      <c r="G84" s="33"/>
      <c r="H84" s="33"/>
      <c r="I84" s="33"/>
      <c r="J84" s="33"/>
      <c r="K84" s="33"/>
      <c r="L84" s="33"/>
      <c r="M84" s="33"/>
    </row>
    <row r="85" spans="2:13" x14ac:dyDescent="0.35">
      <c r="B85" s="33"/>
      <c r="C85" s="33"/>
      <c r="D85" s="33"/>
      <c r="E85" s="33"/>
      <c r="F85" s="33"/>
      <c r="G85" s="33"/>
      <c r="H85" s="33"/>
      <c r="I85" s="33"/>
      <c r="J85" s="33"/>
      <c r="K85" s="33"/>
      <c r="L85" s="33"/>
      <c r="M85" s="33"/>
    </row>
    <row r="86" spans="2:13" x14ac:dyDescent="0.35">
      <c r="B86" s="33"/>
      <c r="C86" s="33"/>
      <c r="D86" s="33"/>
      <c r="E86" s="33"/>
      <c r="F86" s="33"/>
      <c r="G86" s="33"/>
      <c r="H86" s="33"/>
      <c r="I86" s="33"/>
      <c r="J86" s="33"/>
      <c r="K86" s="33"/>
      <c r="L86" s="33"/>
      <c r="M86" s="33"/>
    </row>
    <row r="87" spans="2:13" x14ac:dyDescent="0.35">
      <c r="B87" s="33"/>
      <c r="C87" s="33"/>
      <c r="D87" s="33"/>
      <c r="E87" s="33"/>
      <c r="F87" s="33"/>
      <c r="G87" s="33"/>
      <c r="H87" s="33"/>
      <c r="I87" s="33"/>
      <c r="J87" s="33"/>
      <c r="K87" s="33"/>
      <c r="L87" s="33"/>
      <c r="M87" s="33"/>
    </row>
    <row r="88" spans="2:13" x14ac:dyDescent="0.35">
      <c r="B88" s="33"/>
      <c r="C88" s="33"/>
      <c r="D88" s="33"/>
      <c r="E88" s="33"/>
      <c r="F88" s="33"/>
      <c r="G88" s="33"/>
      <c r="H88" s="33"/>
      <c r="I88" s="33"/>
      <c r="J88" s="33"/>
      <c r="K88" s="33"/>
      <c r="L88" s="33"/>
      <c r="M88" s="33"/>
    </row>
    <row r="89" spans="2:13" x14ac:dyDescent="0.35">
      <c r="B89" s="33"/>
      <c r="C89" s="33"/>
      <c r="D89" s="33"/>
      <c r="E89" s="33"/>
      <c r="F89" s="33"/>
      <c r="G89" s="33"/>
      <c r="H89" s="33"/>
      <c r="I89" s="33"/>
      <c r="J89" s="33"/>
      <c r="K89" s="33"/>
      <c r="L89" s="33"/>
      <c r="M89" s="33"/>
    </row>
    <row r="90" spans="2:13" x14ac:dyDescent="0.35">
      <c r="B90" s="33"/>
      <c r="C90" s="33"/>
      <c r="D90" s="33"/>
      <c r="E90" s="33"/>
      <c r="F90" s="33"/>
      <c r="G90" s="33"/>
      <c r="H90" s="33"/>
      <c r="I90" s="33"/>
      <c r="J90" s="33"/>
      <c r="K90" s="33"/>
      <c r="L90" s="33"/>
      <c r="M90" s="33"/>
    </row>
    <row r="91" spans="2:13" x14ac:dyDescent="0.35">
      <c r="B91" s="33"/>
      <c r="C91" s="33"/>
      <c r="D91" s="33"/>
      <c r="E91" s="33"/>
      <c r="F91" s="33"/>
      <c r="G91" s="33"/>
      <c r="H91" s="33"/>
      <c r="I91" s="33"/>
      <c r="J91" s="33"/>
      <c r="K91" s="33"/>
      <c r="L91" s="33"/>
      <c r="M91" s="33"/>
    </row>
    <row r="92" spans="2:13" x14ac:dyDescent="0.35">
      <c r="B92" s="33"/>
      <c r="C92" s="33"/>
      <c r="D92" s="33"/>
      <c r="E92" s="33"/>
      <c r="F92" s="33"/>
      <c r="G92" s="33"/>
      <c r="H92" s="33"/>
      <c r="I92" s="33"/>
      <c r="J92" s="33"/>
      <c r="K92" s="33"/>
      <c r="L92" s="33"/>
      <c r="M92" s="33"/>
    </row>
    <row r="93" spans="2:13" x14ac:dyDescent="0.35">
      <c r="B93" s="33"/>
      <c r="C93" s="33"/>
      <c r="D93" s="33"/>
      <c r="E93" s="33"/>
      <c r="F93" s="33"/>
      <c r="G93" s="33"/>
      <c r="H93" s="33"/>
      <c r="I93" s="33"/>
      <c r="J93" s="33"/>
      <c r="K93" s="33"/>
      <c r="L93" s="33"/>
      <c r="M93" s="33"/>
    </row>
    <row r="94" spans="2:13" x14ac:dyDescent="0.35">
      <c r="B94" s="33"/>
      <c r="C94" s="33"/>
      <c r="D94" s="33"/>
      <c r="E94" s="33"/>
      <c r="F94" s="33"/>
      <c r="G94" s="33"/>
      <c r="H94" s="33"/>
      <c r="I94" s="33"/>
      <c r="J94" s="33"/>
      <c r="K94" s="33"/>
      <c r="L94" s="33"/>
      <c r="M94" s="33"/>
    </row>
    <row r="95" spans="2:13" x14ac:dyDescent="0.35">
      <c r="B95" s="33"/>
      <c r="C95" s="33"/>
      <c r="D95" s="33"/>
      <c r="E95" s="33"/>
      <c r="F95" s="33"/>
      <c r="G95" s="33"/>
      <c r="H95" s="33"/>
      <c r="I95" s="33"/>
      <c r="J95" s="33"/>
      <c r="K95" s="33"/>
      <c r="L95" s="33"/>
      <c r="M95" s="33"/>
    </row>
    <row r="96" spans="2:13" x14ac:dyDescent="0.35">
      <c r="B96" s="33"/>
      <c r="C96" s="33"/>
      <c r="D96" s="33"/>
      <c r="E96" s="33"/>
      <c r="F96" s="33"/>
      <c r="G96" s="33"/>
      <c r="H96" s="33"/>
      <c r="I96" s="33"/>
      <c r="J96" s="33"/>
      <c r="K96" s="33"/>
      <c r="L96" s="33"/>
      <c r="M96" s="33"/>
    </row>
    <row r="97" spans="2:13" x14ac:dyDescent="0.35">
      <c r="B97" s="33"/>
      <c r="C97" s="33"/>
      <c r="D97" s="33"/>
      <c r="E97" s="33"/>
      <c r="F97" s="33"/>
      <c r="G97" s="33"/>
      <c r="H97" s="33"/>
      <c r="I97" s="33"/>
      <c r="J97" s="33"/>
      <c r="K97" s="33"/>
      <c r="L97" s="33"/>
      <c r="M97" s="33"/>
    </row>
    <row r="98" spans="2:13" x14ac:dyDescent="0.35">
      <c r="B98" s="33"/>
      <c r="C98" s="33"/>
      <c r="D98" s="33"/>
      <c r="E98" s="33"/>
      <c r="F98" s="33"/>
      <c r="G98" s="33"/>
      <c r="H98" s="33"/>
      <c r="I98" s="33"/>
      <c r="J98" s="33"/>
      <c r="K98" s="33"/>
      <c r="L98" s="33"/>
      <c r="M98" s="33"/>
    </row>
  </sheetData>
  <sheetProtection algorithmName="SHA-512" hashValue="x1tyJS5Em18fDiQXiGrrnatKwZuaeE2C3ZAWVxmBH+tW8J99XceD+RrROqGC/AU+u/RWJCtvGggoErRkpV3YAw==" saltValue="WhqFAdS/YT42yZetIHX4sw==" spinCount="100000" sheet="1" objects="1" scenarios="1" selectLockedCells="1" selectUnlockedCells="1"/>
  <mergeCells count="9">
    <mergeCell ref="B11:M11"/>
    <mergeCell ref="B13:M13"/>
    <mergeCell ref="B12:M12"/>
    <mergeCell ref="B3:AE4"/>
    <mergeCell ref="B6:M6"/>
    <mergeCell ref="B7:M7"/>
    <mergeCell ref="B8:M8"/>
    <mergeCell ref="B9:M9"/>
    <mergeCell ref="B10:M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133"/>
  <sheetViews>
    <sheetView showRowColHeaders="0" tabSelected="1" zoomScaleNormal="100" workbookViewId="0"/>
  </sheetViews>
  <sheetFormatPr defaultColWidth="9.1796875" defaultRowHeight="14.5" x14ac:dyDescent="0.35"/>
  <cols>
    <col min="1" max="2" width="9.1796875" style="136"/>
    <col min="3" max="3" width="10.81640625" style="136" customWidth="1"/>
    <col min="4" max="12" width="9.1796875" style="136"/>
    <col min="13" max="13" width="11.1796875" style="136" customWidth="1"/>
    <col min="14" max="14" width="2" style="136" customWidth="1"/>
    <col min="15" max="16384" width="9.1796875" style="136"/>
  </cols>
  <sheetData>
    <row r="3" spans="1:14" ht="12.75" customHeight="1" x14ac:dyDescent="0.35">
      <c r="B3" s="242" t="s">
        <v>145</v>
      </c>
      <c r="C3" s="243"/>
      <c r="D3" s="243"/>
      <c r="E3" s="243"/>
      <c r="F3" s="243"/>
      <c r="G3" s="243"/>
      <c r="H3" s="243"/>
      <c r="I3" s="243"/>
      <c r="J3" s="243"/>
      <c r="K3" s="243"/>
      <c r="L3" s="243"/>
      <c r="M3" s="243"/>
      <c r="N3" s="244"/>
    </row>
    <row r="4" spans="1:14" ht="9.75" customHeight="1" x14ac:dyDescent="0.35">
      <c r="B4" s="242"/>
      <c r="C4" s="243"/>
      <c r="D4" s="243"/>
      <c r="E4" s="243"/>
      <c r="F4" s="243"/>
      <c r="G4" s="243"/>
      <c r="H4" s="243"/>
      <c r="I4" s="243"/>
      <c r="J4" s="243"/>
      <c r="K4" s="243"/>
      <c r="L4" s="243"/>
      <c r="M4" s="243"/>
      <c r="N4" s="244"/>
    </row>
    <row r="5" spans="1:14" ht="15.75" customHeight="1" thickBot="1" x14ac:dyDescent="0.4">
      <c r="B5" s="242"/>
      <c r="C5" s="243"/>
      <c r="D5" s="243"/>
      <c r="E5" s="243"/>
      <c r="F5" s="243"/>
      <c r="G5" s="243"/>
      <c r="H5" s="243"/>
      <c r="I5" s="243"/>
      <c r="J5" s="243"/>
      <c r="K5" s="243"/>
      <c r="L5" s="243"/>
      <c r="M5" s="243"/>
      <c r="N5" s="244"/>
    </row>
    <row r="6" spans="1:14" ht="15" thickTop="1" x14ac:dyDescent="0.35">
      <c r="B6" s="229"/>
      <c r="C6" s="228"/>
      <c r="D6" s="228"/>
      <c r="E6" s="228"/>
      <c r="F6" s="228"/>
      <c r="G6" s="228"/>
      <c r="H6" s="228"/>
      <c r="I6" s="228"/>
      <c r="J6" s="228"/>
      <c r="K6" s="228"/>
      <c r="L6" s="228"/>
      <c r="M6" s="228"/>
      <c r="N6" s="227"/>
    </row>
    <row r="7" spans="1:14" x14ac:dyDescent="0.35">
      <c r="A7" s="137"/>
      <c r="B7" s="252" t="s">
        <v>146</v>
      </c>
      <c r="C7" s="253"/>
      <c r="D7" s="253"/>
      <c r="E7" s="253"/>
      <c r="F7" s="253"/>
      <c r="G7" s="253"/>
      <c r="H7" s="253"/>
      <c r="I7" s="253"/>
      <c r="J7" s="253"/>
      <c r="K7" s="253"/>
      <c r="L7" s="253"/>
      <c r="M7" s="253"/>
      <c r="N7" s="121"/>
    </row>
    <row r="8" spans="1:14" x14ac:dyDescent="0.35">
      <c r="B8" s="220"/>
      <c r="C8" s="219"/>
      <c r="D8" s="219"/>
      <c r="E8" s="219"/>
      <c r="F8" s="219"/>
      <c r="G8" s="219"/>
      <c r="H8" s="219"/>
      <c r="I8" s="219"/>
      <c r="J8" s="219"/>
      <c r="K8" s="219"/>
      <c r="L8" s="219"/>
      <c r="M8" s="219"/>
      <c r="N8" s="121"/>
    </row>
    <row r="9" spans="1:14" x14ac:dyDescent="0.35">
      <c r="B9" s="220"/>
      <c r="C9" s="219"/>
      <c r="D9" s="219"/>
      <c r="E9" s="219"/>
      <c r="F9" s="219"/>
      <c r="G9" s="219"/>
      <c r="H9" s="219"/>
      <c r="I9" s="219"/>
      <c r="J9" s="219"/>
      <c r="K9" s="219"/>
      <c r="L9" s="219"/>
      <c r="M9" s="219"/>
      <c r="N9" s="121"/>
    </row>
    <row r="10" spans="1:14" x14ac:dyDescent="0.35">
      <c r="B10" s="220"/>
      <c r="C10" s="219"/>
      <c r="D10" s="219"/>
      <c r="E10" s="219"/>
      <c r="F10" s="219"/>
      <c r="G10" s="219"/>
      <c r="H10" s="219"/>
      <c r="I10" s="219"/>
      <c r="J10" s="219"/>
      <c r="K10" s="219"/>
      <c r="L10" s="219"/>
      <c r="M10" s="219"/>
      <c r="N10" s="121"/>
    </row>
    <row r="11" spans="1:14" x14ac:dyDescent="0.35">
      <c r="B11" s="220"/>
      <c r="C11" s="219"/>
      <c r="D11" s="219"/>
      <c r="E11" s="219"/>
      <c r="F11" s="219"/>
      <c r="G11" s="219"/>
      <c r="H11" s="219"/>
      <c r="I11" s="219"/>
      <c r="J11" s="219"/>
      <c r="K11" s="219"/>
      <c r="L11" s="219"/>
      <c r="M11" s="219"/>
      <c r="N11" s="121"/>
    </row>
    <row r="12" spans="1:14" x14ac:dyDescent="0.35">
      <c r="B12" s="220"/>
      <c r="C12" s="219"/>
      <c r="D12" s="219"/>
      <c r="E12" s="219"/>
      <c r="F12" s="219"/>
      <c r="G12" s="219"/>
      <c r="H12" s="219"/>
      <c r="I12" s="219"/>
      <c r="J12" s="219"/>
      <c r="K12" s="219"/>
      <c r="L12" s="219"/>
      <c r="M12" s="219"/>
      <c r="N12" s="121"/>
    </row>
    <row r="13" spans="1:14" x14ac:dyDescent="0.35">
      <c r="B13" s="220"/>
      <c r="C13" s="219"/>
      <c r="D13" s="219"/>
      <c r="E13" s="219"/>
      <c r="F13" s="219"/>
      <c r="G13" s="219"/>
      <c r="H13" s="219"/>
      <c r="I13" s="219"/>
      <c r="J13" s="219"/>
      <c r="K13" s="219"/>
      <c r="L13" s="219"/>
      <c r="M13" s="219"/>
      <c r="N13" s="121"/>
    </row>
    <row r="14" spans="1:14" x14ac:dyDescent="0.35">
      <c r="B14" s="220"/>
      <c r="C14" s="219"/>
      <c r="D14" s="219"/>
      <c r="E14" s="219"/>
      <c r="F14" s="219"/>
      <c r="G14" s="219"/>
      <c r="H14" s="219"/>
      <c r="I14" s="219"/>
      <c r="J14" s="219"/>
      <c r="K14" s="219"/>
      <c r="L14" s="219"/>
      <c r="M14" s="219"/>
      <c r="N14" s="121"/>
    </row>
    <row r="15" spans="1:14" x14ac:dyDescent="0.35">
      <c r="B15" s="220"/>
      <c r="C15" s="219"/>
      <c r="D15" s="219"/>
      <c r="E15" s="219"/>
      <c r="F15" s="219"/>
      <c r="G15" s="219"/>
      <c r="H15" s="219"/>
      <c r="I15" s="219"/>
      <c r="J15" s="219"/>
      <c r="K15" s="219"/>
      <c r="L15" s="219"/>
      <c r="M15" s="219"/>
      <c r="N15" s="121"/>
    </row>
    <row r="16" spans="1:14" x14ac:dyDescent="0.35">
      <c r="B16" s="220"/>
      <c r="C16" s="219"/>
      <c r="D16" s="219"/>
      <c r="E16" s="219"/>
      <c r="F16" s="219"/>
      <c r="G16" s="219"/>
      <c r="H16" s="219"/>
      <c r="I16" s="219"/>
      <c r="J16" s="219"/>
      <c r="K16" s="219"/>
      <c r="L16" s="219"/>
      <c r="M16" s="219"/>
      <c r="N16" s="121"/>
    </row>
    <row r="17" spans="1:19" x14ac:dyDescent="0.35">
      <c r="B17" s="220"/>
      <c r="C17" s="219"/>
      <c r="D17" s="219"/>
      <c r="E17" s="219"/>
      <c r="F17" s="219"/>
      <c r="G17" s="219"/>
      <c r="H17" s="219"/>
      <c r="I17" s="219"/>
      <c r="J17" s="219"/>
      <c r="K17" s="219"/>
      <c r="L17" s="219"/>
      <c r="M17" s="219"/>
      <c r="N17" s="121"/>
    </row>
    <row r="18" spans="1:19" x14ac:dyDescent="0.35">
      <c r="B18" s="220"/>
      <c r="C18" s="219"/>
      <c r="D18" s="219"/>
      <c r="E18" s="219"/>
      <c r="F18" s="219"/>
      <c r="G18" s="219"/>
      <c r="H18" s="219"/>
      <c r="I18" s="219"/>
      <c r="J18" s="219"/>
      <c r="K18" s="219"/>
      <c r="L18" s="219"/>
      <c r="M18" s="219"/>
      <c r="N18" s="121"/>
    </row>
    <row r="19" spans="1:19" x14ac:dyDescent="0.35">
      <c r="B19" s="220"/>
      <c r="C19" s="219"/>
      <c r="D19" s="219"/>
      <c r="E19" s="219"/>
      <c r="F19" s="219"/>
      <c r="G19" s="219"/>
      <c r="H19" s="219"/>
      <c r="I19" s="219"/>
      <c r="J19" s="219"/>
      <c r="K19" s="219"/>
      <c r="L19" s="219"/>
      <c r="M19" s="219"/>
      <c r="N19" s="121"/>
    </row>
    <row r="20" spans="1:19" ht="18" x14ac:dyDescent="0.35">
      <c r="A20" s="137"/>
      <c r="B20" s="122" t="s">
        <v>280</v>
      </c>
      <c r="C20" s="219"/>
      <c r="D20" s="219"/>
      <c r="E20" s="219"/>
      <c r="F20" s="219"/>
      <c r="G20" s="219"/>
      <c r="H20" s="219"/>
      <c r="I20" s="219"/>
      <c r="J20" s="219"/>
      <c r="K20" s="219"/>
      <c r="L20" s="219"/>
      <c r="M20" s="219"/>
      <c r="N20" s="121"/>
    </row>
    <row r="21" spans="1:19" x14ac:dyDescent="0.35">
      <c r="B21" s="220"/>
      <c r="C21" s="219"/>
      <c r="D21" s="219"/>
      <c r="E21" s="219"/>
      <c r="F21" s="219"/>
      <c r="G21" s="219"/>
      <c r="H21" s="219"/>
      <c r="I21" s="219"/>
      <c r="J21" s="219"/>
      <c r="K21" s="219"/>
      <c r="L21" s="219"/>
      <c r="M21" s="219"/>
      <c r="N21" s="121"/>
    </row>
    <row r="22" spans="1:19" x14ac:dyDescent="0.35">
      <c r="B22" s="220"/>
      <c r="C22" s="127" t="s">
        <v>148</v>
      </c>
      <c r="D22" s="219"/>
      <c r="E22" s="219"/>
      <c r="F22" s="219"/>
      <c r="G22" s="219"/>
      <c r="H22" s="219"/>
      <c r="I22" s="219"/>
      <c r="J22" s="219"/>
      <c r="K22" s="219"/>
      <c r="L22" s="219"/>
      <c r="M22" s="219"/>
      <c r="N22" s="121"/>
    </row>
    <row r="23" spans="1:19" x14ac:dyDescent="0.35">
      <c r="B23" s="220"/>
      <c r="C23" s="226"/>
      <c r="D23" s="223" t="s">
        <v>149</v>
      </c>
      <c r="E23" s="219"/>
      <c r="F23" s="219"/>
      <c r="G23" s="219"/>
      <c r="H23" s="219"/>
      <c r="I23" s="219"/>
      <c r="J23" s="219"/>
      <c r="K23" s="219"/>
      <c r="L23" s="219"/>
      <c r="M23" s="219"/>
      <c r="N23" s="121"/>
    </row>
    <row r="24" spans="1:19" x14ac:dyDescent="0.35">
      <c r="B24" s="220"/>
      <c r="C24" s="225"/>
      <c r="D24" s="223" t="s">
        <v>150</v>
      </c>
      <c r="E24" s="219"/>
      <c r="F24" s="219"/>
      <c r="G24" s="219"/>
      <c r="H24" s="219"/>
      <c r="I24" s="219"/>
      <c r="J24" s="219"/>
      <c r="K24" s="219"/>
      <c r="L24" s="219"/>
      <c r="M24" s="219"/>
      <c r="N24" s="121"/>
    </row>
    <row r="25" spans="1:19" ht="16.5" x14ac:dyDescent="0.45">
      <c r="B25" s="220"/>
      <c r="C25" s="224"/>
      <c r="D25" s="223" t="s">
        <v>151</v>
      </c>
      <c r="E25" s="219"/>
      <c r="F25" s="219"/>
      <c r="G25" s="219"/>
      <c r="H25" s="219"/>
      <c r="I25" s="219"/>
      <c r="J25" s="219"/>
      <c r="K25" s="219"/>
      <c r="L25" s="219"/>
      <c r="M25" s="219"/>
      <c r="N25" s="121"/>
      <c r="S25" s="221"/>
    </row>
    <row r="26" spans="1:19" ht="16.5" x14ac:dyDescent="0.45">
      <c r="B26" s="220"/>
      <c r="C26" s="219"/>
      <c r="D26" s="219"/>
      <c r="E26" s="219"/>
      <c r="F26" s="219"/>
      <c r="G26" s="219"/>
      <c r="H26" s="219"/>
      <c r="I26" s="219"/>
      <c r="J26" s="219"/>
      <c r="K26" s="219"/>
      <c r="L26" s="219"/>
      <c r="M26" s="219"/>
      <c r="N26" s="121"/>
      <c r="S26" s="222"/>
    </row>
    <row r="27" spans="1:19" ht="16.5" x14ac:dyDescent="0.45">
      <c r="A27" s="137"/>
      <c r="B27" s="252" t="s">
        <v>153</v>
      </c>
      <c r="C27" s="253"/>
      <c r="D27" s="253"/>
      <c r="E27" s="253"/>
      <c r="F27" s="253"/>
      <c r="G27" s="253"/>
      <c r="H27" s="253"/>
      <c r="I27" s="253"/>
      <c r="J27" s="253"/>
      <c r="K27" s="253"/>
      <c r="L27" s="253"/>
      <c r="M27" s="253"/>
      <c r="N27" s="121"/>
      <c r="S27" s="221"/>
    </row>
    <row r="28" spans="1:19" ht="9.75" customHeight="1" x14ac:dyDescent="0.45">
      <c r="B28" s="220"/>
      <c r="C28" s="219"/>
      <c r="D28" s="219"/>
      <c r="E28" s="219"/>
      <c r="F28" s="219"/>
      <c r="G28" s="219"/>
      <c r="H28" s="219"/>
      <c r="I28" s="219"/>
      <c r="J28" s="219"/>
      <c r="K28" s="219"/>
      <c r="L28" s="219"/>
      <c r="M28" s="219"/>
      <c r="N28" s="121"/>
      <c r="S28" s="221"/>
    </row>
    <row r="29" spans="1:19" x14ac:dyDescent="0.35">
      <c r="B29" s="220"/>
      <c r="C29" s="219"/>
      <c r="D29" s="219"/>
      <c r="E29" s="219"/>
      <c r="F29" s="219"/>
      <c r="G29" s="219"/>
      <c r="H29" s="219"/>
      <c r="I29" s="219"/>
      <c r="J29" s="219"/>
      <c r="K29" s="219"/>
      <c r="L29" s="219"/>
      <c r="M29" s="219"/>
      <c r="N29" s="121"/>
    </row>
    <row r="30" spans="1:19" x14ac:dyDescent="0.35">
      <c r="B30" s="220"/>
      <c r="C30" s="219"/>
      <c r="D30" s="219"/>
      <c r="E30" s="219"/>
      <c r="F30" s="219"/>
      <c r="G30" s="219"/>
      <c r="H30" s="219"/>
      <c r="I30" s="219"/>
      <c r="J30" s="219"/>
      <c r="K30" s="219"/>
      <c r="L30" s="219"/>
      <c r="M30" s="219"/>
      <c r="N30" s="121"/>
    </row>
    <row r="31" spans="1:19" x14ac:dyDescent="0.35">
      <c r="B31" s="220"/>
      <c r="C31" s="219"/>
      <c r="D31" s="219"/>
      <c r="E31" s="219"/>
      <c r="F31" s="219"/>
      <c r="G31" s="219"/>
      <c r="H31" s="219"/>
      <c r="I31" s="219"/>
      <c r="J31" s="219"/>
      <c r="K31" s="219"/>
      <c r="L31" s="219"/>
      <c r="M31" s="219"/>
      <c r="N31" s="121"/>
    </row>
    <row r="32" spans="1:19" x14ac:dyDescent="0.35">
      <c r="B32" s="220"/>
      <c r="C32" s="219"/>
      <c r="D32" s="219"/>
      <c r="E32" s="219"/>
      <c r="F32" s="219"/>
      <c r="G32" s="219"/>
      <c r="H32" s="219"/>
      <c r="I32" s="219"/>
      <c r="J32" s="219"/>
      <c r="K32" s="219"/>
      <c r="L32" s="219"/>
      <c r="M32" s="219"/>
      <c r="N32" s="121"/>
    </row>
    <row r="33" spans="1:14" x14ac:dyDescent="0.35">
      <c r="B33" s="220"/>
      <c r="C33" s="219"/>
      <c r="D33" s="219"/>
      <c r="E33" s="219"/>
      <c r="F33" s="219"/>
      <c r="G33" s="219"/>
      <c r="H33" s="219"/>
      <c r="I33" s="219"/>
      <c r="J33" s="219"/>
      <c r="K33" s="219"/>
      <c r="L33" s="219"/>
      <c r="M33" s="219"/>
      <c r="N33" s="121"/>
    </row>
    <row r="34" spans="1:14" x14ac:dyDescent="0.35">
      <c r="B34" s="220"/>
      <c r="C34" s="219"/>
      <c r="D34" s="219"/>
      <c r="E34" s="219"/>
      <c r="F34" s="219"/>
      <c r="G34" s="219"/>
      <c r="H34" s="219"/>
      <c r="I34" s="219"/>
      <c r="J34" s="219"/>
      <c r="K34" s="219"/>
      <c r="L34" s="219"/>
      <c r="M34" s="219"/>
      <c r="N34" s="121"/>
    </row>
    <row r="35" spans="1:14" x14ac:dyDescent="0.35">
      <c r="B35" s="220"/>
      <c r="C35" s="219"/>
      <c r="D35" s="219"/>
      <c r="E35" s="219"/>
      <c r="F35" s="219"/>
      <c r="G35" s="219"/>
      <c r="H35" s="219"/>
      <c r="I35" s="219"/>
      <c r="J35" s="219"/>
      <c r="K35" s="219"/>
      <c r="L35" s="219"/>
      <c r="M35" s="219"/>
      <c r="N35" s="121"/>
    </row>
    <row r="36" spans="1:14" ht="42.75" customHeight="1" x14ac:dyDescent="0.35">
      <c r="B36" s="220"/>
      <c r="C36" s="219"/>
      <c r="D36" s="219"/>
      <c r="E36" s="219"/>
      <c r="F36" s="219"/>
      <c r="G36" s="219"/>
      <c r="H36" s="219"/>
      <c r="I36" s="219"/>
      <c r="J36" s="219"/>
      <c r="K36" s="219"/>
      <c r="L36" s="219"/>
      <c r="M36" s="219"/>
      <c r="N36" s="121"/>
    </row>
    <row r="37" spans="1:14" ht="31.5" customHeight="1" x14ac:dyDescent="0.35">
      <c r="A37" s="137"/>
      <c r="B37" s="254" t="s">
        <v>152</v>
      </c>
      <c r="C37" s="254"/>
      <c r="D37" s="254"/>
      <c r="E37" s="254"/>
      <c r="F37" s="254"/>
      <c r="G37" s="254"/>
      <c r="H37" s="254"/>
      <c r="I37" s="254"/>
      <c r="J37" s="254"/>
      <c r="K37" s="254"/>
      <c r="L37" s="254"/>
      <c r="M37" s="254"/>
      <c r="N37" s="121"/>
    </row>
    <row r="38" spans="1:14" x14ac:dyDescent="0.35">
      <c r="B38" s="220"/>
      <c r="C38" s="219"/>
      <c r="D38" s="219"/>
      <c r="E38" s="219"/>
      <c r="F38" s="219"/>
      <c r="G38" s="219"/>
      <c r="H38" s="219"/>
      <c r="I38" s="219"/>
      <c r="J38" s="219"/>
      <c r="K38" s="219"/>
      <c r="L38" s="219"/>
      <c r="M38" s="219"/>
      <c r="N38" s="121"/>
    </row>
    <row r="39" spans="1:14" x14ac:dyDescent="0.35">
      <c r="B39" s="125" t="s">
        <v>147</v>
      </c>
      <c r="C39" s="217"/>
      <c r="D39" s="217"/>
      <c r="E39" s="217"/>
      <c r="F39" s="217"/>
      <c r="G39" s="217"/>
      <c r="H39" s="217"/>
      <c r="I39" s="217"/>
      <c r="J39" s="217"/>
      <c r="K39" s="217"/>
      <c r="L39" s="217"/>
      <c r="M39" s="217"/>
      <c r="N39" s="121"/>
    </row>
    <row r="40" spans="1:14" ht="72" customHeight="1" x14ac:dyDescent="0.35">
      <c r="A40" s="137"/>
      <c r="B40" s="254" t="s">
        <v>215</v>
      </c>
      <c r="C40" s="254"/>
      <c r="D40" s="254"/>
      <c r="E40" s="254"/>
      <c r="F40" s="254"/>
      <c r="G40" s="254"/>
      <c r="H40" s="254"/>
      <c r="I40" s="254"/>
      <c r="J40" s="254"/>
      <c r="K40" s="254"/>
      <c r="L40" s="254"/>
      <c r="M40" s="254"/>
      <c r="N40" s="121"/>
    </row>
    <row r="41" spans="1:14" ht="12.75" customHeight="1" x14ac:dyDescent="0.35">
      <c r="A41" s="137"/>
      <c r="B41" s="217"/>
      <c r="C41" s="217"/>
      <c r="D41" s="217"/>
      <c r="E41" s="217"/>
      <c r="F41" s="217"/>
      <c r="G41" s="217"/>
      <c r="H41" s="217"/>
      <c r="I41" s="217"/>
      <c r="J41" s="217"/>
      <c r="K41" s="217"/>
      <c r="L41" s="217"/>
      <c r="M41" s="217"/>
      <c r="N41" s="121"/>
    </row>
    <row r="42" spans="1:14" ht="18" x14ac:dyDescent="0.35">
      <c r="A42" s="137"/>
      <c r="B42" s="126" t="s">
        <v>279</v>
      </c>
      <c r="C42" s="217"/>
      <c r="D42" s="217"/>
      <c r="E42" s="217"/>
      <c r="F42" s="217"/>
      <c r="G42" s="217"/>
      <c r="H42" s="217"/>
      <c r="I42" s="217"/>
      <c r="J42" s="217"/>
      <c r="K42" s="217"/>
      <c r="L42" s="217"/>
      <c r="M42" s="217"/>
      <c r="N42" s="121"/>
    </row>
    <row r="43" spans="1:14" x14ac:dyDescent="0.35">
      <c r="A43" s="137"/>
      <c r="B43" s="217"/>
      <c r="C43" s="217"/>
      <c r="D43" s="217"/>
      <c r="E43" s="217"/>
      <c r="F43" s="217"/>
      <c r="G43" s="217"/>
      <c r="H43" s="217"/>
      <c r="I43" s="217"/>
      <c r="J43" s="217"/>
      <c r="K43" s="217"/>
      <c r="L43" s="217"/>
      <c r="M43" s="217"/>
      <c r="N43" s="121"/>
    </row>
    <row r="44" spans="1:14" x14ac:dyDescent="0.35">
      <c r="A44" s="137"/>
      <c r="B44" s="255" t="s">
        <v>176</v>
      </c>
      <c r="C44" s="256"/>
      <c r="D44" s="256"/>
      <c r="E44" s="256"/>
      <c r="F44" s="256"/>
      <c r="G44" s="256"/>
      <c r="H44" s="256"/>
      <c r="I44" s="256"/>
      <c r="J44" s="256"/>
      <c r="K44" s="256"/>
      <c r="L44" s="256"/>
      <c r="M44" s="256"/>
      <c r="N44" s="121"/>
    </row>
    <row r="45" spans="1:14" ht="9" customHeight="1" x14ac:dyDescent="0.35">
      <c r="A45" s="137"/>
      <c r="B45" s="217"/>
      <c r="C45" s="217"/>
      <c r="D45" s="217"/>
      <c r="E45" s="217"/>
      <c r="F45" s="217"/>
      <c r="G45" s="217"/>
      <c r="H45" s="217"/>
      <c r="I45" s="217"/>
      <c r="J45" s="217"/>
      <c r="K45" s="217"/>
      <c r="L45" s="217"/>
      <c r="M45" s="217"/>
      <c r="N45" s="121"/>
    </row>
    <row r="46" spans="1:14" x14ac:dyDescent="0.35">
      <c r="A46" s="137"/>
      <c r="B46" s="257" t="s">
        <v>154</v>
      </c>
      <c r="C46" s="258"/>
      <c r="D46" s="258"/>
      <c r="E46" s="258"/>
      <c r="F46" s="258"/>
      <c r="G46" s="258"/>
      <c r="H46" s="258"/>
      <c r="I46" s="258"/>
      <c r="J46" s="258"/>
      <c r="K46" s="258"/>
      <c r="L46" s="258"/>
      <c r="M46" s="258"/>
      <c r="N46" s="121"/>
    </row>
    <row r="47" spans="1:14" ht="45" customHeight="1" x14ac:dyDescent="0.35">
      <c r="A47" s="137"/>
      <c r="B47" s="259" t="s">
        <v>155</v>
      </c>
      <c r="C47" s="259"/>
      <c r="D47" s="259"/>
      <c r="E47" s="259"/>
      <c r="F47" s="259"/>
      <c r="G47" s="259"/>
      <c r="H47" s="259"/>
      <c r="I47" s="259"/>
      <c r="J47" s="259"/>
      <c r="K47" s="259"/>
      <c r="L47" s="259"/>
      <c r="M47" s="259"/>
      <c r="N47" s="121"/>
    </row>
    <row r="48" spans="1:14" ht="43.5" customHeight="1" x14ac:dyDescent="0.35">
      <c r="A48" s="137"/>
      <c r="B48" s="259" t="s">
        <v>278</v>
      </c>
      <c r="C48" s="259"/>
      <c r="D48" s="259"/>
      <c r="E48" s="259"/>
      <c r="F48" s="259"/>
      <c r="G48" s="259"/>
      <c r="H48" s="259"/>
      <c r="I48" s="259"/>
      <c r="J48" s="259"/>
      <c r="K48" s="259"/>
      <c r="L48" s="259"/>
      <c r="M48" s="259"/>
      <c r="N48" s="121"/>
    </row>
    <row r="49" spans="1:14" ht="15.75" customHeight="1" x14ac:dyDescent="0.35">
      <c r="A49" s="137"/>
      <c r="B49" s="259" t="s">
        <v>277</v>
      </c>
      <c r="C49" s="259"/>
      <c r="D49" s="259"/>
      <c r="E49" s="259"/>
      <c r="F49" s="259"/>
      <c r="G49" s="259"/>
      <c r="H49" s="259"/>
      <c r="I49" s="259"/>
      <c r="J49" s="259"/>
      <c r="K49" s="259"/>
      <c r="L49" s="259"/>
      <c r="M49" s="259"/>
      <c r="N49" s="121"/>
    </row>
    <row r="50" spans="1:14" ht="90" customHeight="1" x14ac:dyDescent="0.35">
      <c r="A50" s="137"/>
      <c r="B50" s="259" t="s">
        <v>281</v>
      </c>
      <c r="C50" s="259"/>
      <c r="D50" s="259"/>
      <c r="E50" s="259"/>
      <c r="F50" s="259"/>
      <c r="G50" s="259"/>
      <c r="H50" s="259"/>
      <c r="I50" s="259"/>
      <c r="J50" s="259"/>
      <c r="K50" s="259"/>
      <c r="L50" s="259"/>
      <c r="M50" s="259"/>
      <c r="N50" s="121"/>
    </row>
    <row r="51" spans="1:14" ht="33.75" customHeight="1" x14ac:dyDescent="0.35">
      <c r="B51" s="260" t="s">
        <v>177</v>
      </c>
      <c r="C51" s="261"/>
      <c r="D51" s="261"/>
      <c r="E51" s="261"/>
      <c r="F51" s="261"/>
      <c r="G51" s="261"/>
      <c r="H51" s="261"/>
      <c r="I51" s="261"/>
      <c r="J51" s="261"/>
      <c r="K51" s="261"/>
      <c r="L51" s="261"/>
      <c r="M51" s="261"/>
      <c r="N51" s="121"/>
    </row>
    <row r="52" spans="1:14" ht="46.5" customHeight="1" x14ac:dyDescent="0.35">
      <c r="B52" s="262" t="s">
        <v>156</v>
      </c>
      <c r="C52" s="263"/>
      <c r="D52" s="263"/>
      <c r="E52" s="263"/>
      <c r="F52" s="263"/>
      <c r="G52" s="263"/>
      <c r="H52" s="263"/>
      <c r="I52" s="263"/>
      <c r="J52" s="263"/>
      <c r="K52" s="263"/>
      <c r="L52" s="263"/>
      <c r="M52" s="263"/>
      <c r="N52" s="121"/>
    </row>
    <row r="53" spans="1:14" ht="61.5" customHeight="1" x14ac:dyDescent="0.35">
      <c r="B53" s="262" t="s">
        <v>157</v>
      </c>
      <c r="C53" s="263"/>
      <c r="D53" s="263"/>
      <c r="E53" s="263"/>
      <c r="F53" s="263"/>
      <c r="G53" s="263"/>
      <c r="H53" s="263"/>
      <c r="I53" s="263"/>
      <c r="J53" s="263"/>
      <c r="K53" s="263"/>
      <c r="L53" s="263"/>
      <c r="M53" s="263"/>
      <c r="N53" s="121"/>
    </row>
    <row r="54" spans="1:14" x14ac:dyDescent="0.35">
      <c r="B54" s="257" t="s">
        <v>158</v>
      </c>
      <c r="C54" s="258"/>
      <c r="D54" s="258"/>
      <c r="E54" s="258"/>
      <c r="F54" s="258"/>
      <c r="G54" s="258"/>
      <c r="H54" s="258"/>
      <c r="I54" s="258"/>
      <c r="J54" s="258"/>
      <c r="K54" s="258"/>
      <c r="L54" s="258"/>
      <c r="M54" s="258"/>
      <c r="N54" s="121"/>
    </row>
    <row r="55" spans="1:14" x14ac:dyDescent="0.35">
      <c r="B55" s="213"/>
      <c r="C55" s="217"/>
      <c r="D55" s="217"/>
      <c r="E55" s="217"/>
      <c r="F55" s="217"/>
      <c r="G55" s="217"/>
      <c r="H55" s="217"/>
      <c r="I55" s="217"/>
      <c r="J55" s="217"/>
      <c r="K55" s="217"/>
      <c r="L55" s="217"/>
      <c r="M55" s="217"/>
      <c r="N55" s="121"/>
    </row>
    <row r="56" spans="1:14" ht="33" customHeight="1" x14ac:dyDescent="0.35">
      <c r="B56" s="260" t="s">
        <v>178</v>
      </c>
      <c r="C56" s="261"/>
      <c r="D56" s="261"/>
      <c r="E56" s="261"/>
      <c r="F56" s="261"/>
      <c r="G56" s="261"/>
      <c r="H56" s="261"/>
      <c r="I56" s="261"/>
      <c r="J56" s="261"/>
      <c r="K56" s="261"/>
      <c r="L56" s="261"/>
      <c r="M56" s="261"/>
      <c r="N56" s="121"/>
    </row>
    <row r="57" spans="1:14" x14ac:dyDescent="0.35">
      <c r="B57" s="213" t="s">
        <v>159</v>
      </c>
      <c r="C57" s="217"/>
      <c r="D57" s="217"/>
      <c r="E57" s="217"/>
      <c r="F57" s="217"/>
      <c r="G57" s="217"/>
      <c r="H57" s="217"/>
      <c r="I57" s="217"/>
      <c r="J57" s="217"/>
      <c r="K57" s="217"/>
      <c r="L57" s="217"/>
      <c r="M57" s="217"/>
      <c r="N57" s="121"/>
    </row>
    <row r="58" spans="1:14" ht="47.25" customHeight="1" x14ac:dyDescent="0.35">
      <c r="B58" s="262" t="s">
        <v>160</v>
      </c>
      <c r="C58" s="263"/>
      <c r="D58" s="263"/>
      <c r="E58" s="263"/>
      <c r="F58" s="263"/>
      <c r="G58" s="263"/>
      <c r="H58" s="263"/>
      <c r="I58" s="263"/>
      <c r="J58" s="263"/>
      <c r="K58" s="263"/>
      <c r="L58" s="263"/>
      <c r="M58" s="263"/>
      <c r="N58" s="121"/>
    </row>
    <row r="59" spans="1:14" x14ac:dyDescent="0.35">
      <c r="B59" s="213" t="s">
        <v>161</v>
      </c>
      <c r="C59" s="217"/>
      <c r="D59" s="217"/>
      <c r="E59" s="217"/>
      <c r="F59" s="217"/>
      <c r="G59" s="217"/>
      <c r="H59" s="217"/>
      <c r="I59" s="217"/>
      <c r="J59" s="217"/>
      <c r="K59" s="217"/>
      <c r="L59" s="217"/>
      <c r="M59" s="217"/>
      <c r="N59" s="121"/>
    </row>
    <row r="60" spans="1:14" x14ac:dyDescent="0.35">
      <c r="B60" s="213"/>
      <c r="C60" s="217"/>
      <c r="D60" s="217"/>
      <c r="E60" s="217"/>
      <c r="F60" s="217"/>
      <c r="G60" s="217"/>
      <c r="H60" s="217"/>
      <c r="I60" s="217"/>
      <c r="J60" s="217"/>
      <c r="K60" s="217"/>
      <c r="L60" s="217"/>
      <c r="M60" s="217"/>
      <c r="N60" s="121"/>
    </row>
    <row r="61" spans="1:14" ht="33" customHeight="1" x14ac:dyDescent="0.35">
      <c r="B61" s="260" t="s">
        <v>179</v>
      </c>
      <c r="C61" s="261"/>
      <c r="D61" s="261"/>
      <c r="E61" s="261"/>
      <c r="F61" s="261"/>
      <c r="G61" s="261"/>
      <c r="H61" s="261"/>
      <c r="I61" s="261"/>
      <c r="J61" s="261"/>
      <c r="K61" s="261"/>
      <c r="L61" s="261"/>
      <c r="M61" s="261"/>
      <c r="N61" s="121"/>
    </row>
    <row r="62" spans="1:14" x14ac:dyDescent="0.35">
      <c r="B62" s="257" t="s">
        <v>162</v>
      </c>
      <c r="C62" s="258"/>
      <c r="D62" s="258"/>
      <c r="E62" s="258"/>
      <c r="F62" s="258"/>
      <c r="G62" s="258"/>
      <c r="H62" s="258"/>
      <c r="I62" s="258"/>
      <c r="J62" s="258"/>
      <c r="K62" s="258"/>
      <c r="L62" s="258"/>
      <c r="M62" s="258"/>
      <c r="N62" s="121"/>
    </row>
    <row r="63" spans="1:14" x14ac:dyDescent="0.35">
      <c r="B63" s="257" t="s">
        <v>163</v>
      </c>
      <c r="C63" s="258"/>
      <c r="D63" s="258"/>
      <c r="E63" s="258"/>
      <c r="F63" s="258"/>
      <c r="G63" s="258"/>
      <c r="H63" s="258"/>
      <c r="I63" s="258"/>
      <c r="J63" s="258"/>
      <c r="K63" s="258"/>
      <c r="L63" s="258"/>
      <c r="M63" s="258"/>
      <c r="N63" s="121"/>
    </row>
    <row r="64" spans="1:14" ht="32.25" customHeight="1" x14ac:dyDescent="0.35">
      <c r="B64" s="262" t="s">
        <v>164</v>
      </c>
      <c r="C64" s="263"/>
      <c r="D64" s="263"/>
      <c r="E64" s="263"/>
      <c r="F64" s="263"/>
      <c r="G64" s="263"/>
      <c r="H64" s="263"/>
      <c r="I64" s="263"/>
      <c r="J64" s="263"/>
      <c r="K64" s="263"/>
      <c r="L64" s="263"/>
      <c r="M64" s="263"/>
      <c r="N64" s="121"/>
    </row>
    <row r="65" spans="2:14" ht="16.5" customHeight="1" x14ac:dyDescent="0.35">
      <c r="B65" s="214"/>
      <c r="C65" s="218"/>
      <c r="D65" s="218"/>
      <c r="E65" s="218"/>
      <c r="F65" s="218"/>
      <c r="G65" s="218"/>
      <c r="H65" s="218"/>
      <c r="I65" s="218"/>
      <c r="J65" s="218"/>
      <c r="K65" s="218"/>
      <c r="L65" s="218"/>
      <c r="M65" s="218"/>
      <c r="N65" s="121"/>
    </row>
    <row r="66" spans="2:14" x14ac:dyDescent="0.35">
      <c r="B66" s="260" t="s">
        <v>180</v>
      </c>
      <c r="C66" s="261"/>
      <c r="D66" s="261"/>
      <c r="E66" s="261"/>
      <c r="F66" s="261"/>
      <c r="G66" s="261"/>
      <c r="H66" s="261"/>
      <c r="I66" s="261"/>
      <c r="J66" s="261"/>
      <c r="K66" s="261"/>
      <c r="L66" s="261"/>
      <c r="M66" s="261"/>
      <c r="N66" s="121"/>
    </row>
    <row r="67" spans="2:14" ht="32.25" customHeight="1" x14ac:dyDescent="0.35">
      <c r="B67" s="214"/>
      <c r="C67" s="218"/>
      <c r="D67" s="218"/>
      <c r="E67" s="218"/>
      <c r="F67" s="218"/>
      <c r="G67" s="218"/>
      <c r="H67" s="218"/>
      <c r="I67" s="218"/>
      <c r="J67" s="218"/>
      <c r="K67" s="218"/>
      <c r="L67" s="218"/>
      <c r="M67" s="218"/>
      <c r="N67" s="121"/>
    </row>
    <row r="68" spans="2:14" ht="32.25" customHeight="1" x14ac:dyDescent="0.35">
      <c r="B68" s="214"/>
      <c r="C68" s="218"/>
      <c r="D68" s="218"/>
      <c r="E68" s="218"/>
      <c r="F68" s="218"/>
      <c r="G68" s="218"/>
      <c r="H68" s="218"/>
      <c r="I68" s="218"/>
      <c r="J68" s="218"/>
      <c r="K68" s="218"/>
      <c r="L68" s="218"/>
      <c r="M68" s="218"/>
      <c r="N68" s="121"/>
    </row>
    <row r="69" spans="2:14" ht="32.25" customHeight="1" x14ac:dyDescent="0.35">
      <c r="B69" s="214"/>
      <c r="C69" s="218"/>
      <c r="D69" s="218"/>
      <c r="E69" s="218"/>
      <c r="F69" s="218"/>
      <c r="G69" s="218"/>
      <c r="H69" s="218"/>
      <c r="I69" s="218"/>
      <c r="J69" s="218"/>
      <c r="K69" s="218"/>
      <c r="L69" s="218"/>
      <c r="M69" s="218"/>
      <c r="N69" s="121"/>
    </row>
    <row r="70" spans="2:14" ht="32.25" customHeight="1" x14ac:dyDescent="0.35">
      <c r="B70" s="214"/>
      <c r="C70" s="218"/>
      <c r="D70" s="218"/>
      <c r="E70" s="218"/>
      <c r="F70" s="218"/>
      <c r="G70" s="218"/>
      <c r="H70" s="218"/>
      <c r="I70" s="218"/>
      <c r="J70" s="218"/>
      <c r="K70" s="218"/>
      <c r="L70" s="218"/>
      <c r="M70" s="218"/>
      <c r="N70" s="121"/>
    </row>
    <row r="71" spans="2:14" ht="32.25" customHeight="1" x14ac:dyDescent="0.35">
      <c r="B71" s="214"/>
      <c r="C71" s="218"/>
      <c r="D71" s="218"/>
      <c r="E71" s="218"/>
      <c r="F71" s="218"/>
      <c r="G71" s="218"/>
      <c r="H71" s="218"/>
      <c r="I71" s="218"/>
      <c r="J71" s="218"/>
      <c r="K71" s="218"/>
      <c r="L71" s="218"/>
      <c r="M71" s="218"/>
      <c r="N71" s="121"/>
    </row>
    <row r="72" spans="2:14" ht="18" x14ac:dyDescent="0.35">
      <c r="B72" s="264" t="s">
        <v>276</v>
      </c>
      <c r="C72" s="265"/>
      <c r="D72" s="265"/>
      <c r="E72" s="265"/>
      <c r="F72" s="265"/>
      <c r="G72" s="265"/>
      <c r="H72" s="265"/>
      <c r="I72" s="265"/>
      <c r="J72" s="265"/>
      <c r="K72" s="265"/>
      <c r="L72" s="265"/>
      <c r="M72" s="265"/>
      <c r="N72" s="121"/>
    </row>
    <row r="73" spans="2:14" x14ac:dyDescent="0.35">
      <c r="B73" s="213"/>
      <c r="C73" s="217"/>
      <c r="D73" s="217"/>
      <c r="E73" s="217"/>
      <c r="F73" s="217"/>
      <c r="G73" s="217"/>
      <c r="H73" s="217"/>
      <c r="I73" s="217"/>
      <c r="J73" s="217"/>
      <c r="K73" s="217"/>
      <c r="L73" s="217"/>
      <c r="M73" s="217"/>
      <c r="N73" s="121"/>
    </row>
    <row r="74" spans="2:14" x14ac:dyDescent="0.35">
      <c r="B74" s="260" t="s">
        <v>181</v>
      </c>
      <c r="C74" s="261"/>
      <c r="D74" s="261"/>
      <c r="E74" s="261"/>
      <c r="F74" s="261"/>
      <c r="G74" s="261"/>
      <c r="H74" s="261"/>
      <c r="I74" s="261"/>
      <c r="J74" s="261"/>
      <c r="K74" s="261"/>
      <c r="L74" s="261"/>
      <c r="M74" s="261"/>
      <c r="N74" s="266"/>
    </row>
    <row r="75" spans="2:14" x14ac:dyDescent="0.35">
      <c r="B75" s="213" t="s">
        <v>274</v>
      </c>
      <c r="C75" s="217"/>
      <c r="D75" s="267" t="s">
        <v>140</v>
      </c>
      <c r="E75" s="267"/>
      <c r="F75" s="267"/>
      <c r="G75" s="267"/>
      <c r="H75" s="267"/>
      <c r="I75" s="267"/>
      <c r="J75" s="217"/>
      <c r="K75" s="217"/>
      <c r="L75" s="217"/>
      <c r="M75" s="217"/>
      <c r="N75" s="121"/>
    </row>
    <row r="76" spans="2:14" ht="27.75" customHeight="1" x14ac:dyDescent="0.35">
      <c r="B76" s="262" t="s">
        <v>165</v>
      </c>
      <c r="C76" s="263"/>
      <c r="D76" s="263"/>
      <c r="E76" s="263"/>
      <c r="F76" s="263"/>
      <c r="G76" s="263"/>
      <c r="H76" s="263"/>
      <c r="I76" s="263"/>
      <c r="J76" s="263"/>
      <c r="K76" s="263"/>
      <c r="L76" s="263"/>
      <c r="M76" s="263"/>
      <c r="N76" s="121"/>
    </row>
    <row r="77" spans="2:14" ht="29.25" customHeight="1" x14ac:dyDescent="0.35">
      <c r="B77" s="262" t="s">
        <v>166</v>
      </c>
      <c r="C77" s="263"/>
      <c r="D77" s="263"/>
      <c r="E77" s="263"/>
      <c r="F77" s="263"/>
      <c r="G77" s="263"/>
      <c r="H77" s="263"/>
      <c r="I77" s="263"/>
      <c r="J77" s="263"/>
      <c r="K77" s="263"/>
      <c r="L77" s="263"/>
      <c r="M77" s="263"/>
      <c r="N77" s="121"/>
    </row>
    <row r="78" spans="2:14" x14ac:dyDescent="0.35">
      <c r="B78" s="213" t="s">
        <v>167</v>
      </c>
      <c r="C78" s="217"/>
      <c r="D78" s="217"/>
      <c r="E78" s="217"/>
      <c r="F78" s="217"/>
      <c r="G78" s="217"/>
      <c r="H78" s="217"/>
      <c r="I78" s="217"/>
      <c r="J78" s="217"/>
      <c r="K78" s="217"/>
      <c r="L78" s="217"/>
      <c r="M78" s="217"/>
      <c r="N78" s="121"/>
    </row>
    <row r="79" spans="2:14" x14ac:dyDescent="0.35">
      <c r="B79" s="213"/>
      <c r="C79" s="217"/>
      <c r="D79" s="217"/>
      <c r="E79" s="217"/>
      <c r="F79" s="217"/>
      <c r="G79" s="217"/>
      <c r="H79" s="217"/>
      <c r="I79" s="217"/>
      <c r="J79" s="217"/>
      <c r="K79" s="217"/>
      <c r="L79" s="217"/>
      <c r="M79" s="217"/>
      <c r="N79" s="121"/>
    </row>
    <row r="80" spans="2:14" x14ac:dyDescent="0.35">
      <c r="B80" s="260" t="s">
        <v>205</v>
      </c>
      <c r="C80" s="261"/>
      <c r="D80" s="261"/>
      <c r="E80" s="261"/>
      <c r="F80" s="261"/>
      <c r="G80" s="261"/>
      <c r="H80" s="261"/>
      <c r="I80" s="261"/>
      <c r="J80" s="261"/>
      <c r="K80" s="261"/>
      <c r="L80" s="261"/>
      <c r="M80" s="261"/>
      <c r="N80" s="266"/>
    </row>
    <row r="81" spans="2:14" x14ac:dyDescent="0.35">
      <c r="B81" s="213" t="s">
        <v>275</v>
      </c>
      <c r="C81" s="217"/>
      <c r="D81" s="268" t="s">
        <v>141</v>
      </c>
      <c r="E81" s="268"/>
      <c r="F81" s="268"/>
      <c r="G81" s="268"/>
      <c r="H81" s="268"/>
      <c r="I81" s="217"/>
      <c r="J81" s="217"/>
      <c r="K81" s="217"/>
      <c r="L81" s="217"/>
      <c r="M81" s="217"/>
      <c r="N81" s="121"/>
    </row>
    <row r="82" spans="2:14" ht="58.5" customHeight="1" x14ac:dyDescent="0.35">
      <c r="B82" s="262" t="s">
        <v>168</v>
      </c>
      <c r="C82" s="263"/>
      <c r="D82" s="263"/>
      <c r="E82" s="263"/>
      <c r="F82" s="263"/>
      <c r="G82" s="263"/>
      <c r="H82" s="263"/>
      <c r="I82" s="263"/>
      <c r="J82" s="263"/>
      <c r="K82" s="263"/>
      <c r="L82" s="263"/>
      <c r="M82" s="263"/>
      <c r="N82" s="121"/>
    </row>
    <row r="83" spans="2:14" x14ac:dyDescent="0.35">
      <c r="B83" s="213" t="s">
        <v>169</v>
      </c>
      <c r="C83" s="217"/>
      <c r="D83" s="217"/>
      <c r="E83" s="217"/>
      <c r="F83" s="217"/>
      <c r="G83" s="217"/>
      <c r="H83" s="217"/>
      <c r="I83" s="217"/>
      <c r="J83" s="217"/>
      <c r="K83" s="217"/>
      <c r="L83" s="217"/>
      <c r="M83" s="217"/>
      <c r="N83" s="121"/>
    </row>
    <row r="84" spans="2:14" x14ac:dyDescent="0.35">
      <c r="B84" s="213" t="s">
        <v>170</v>
      </c>
      <c r="C84" s="217"/>
      <c r="D84" s="217"/>
      <c r="E84" s="217"/>
      <c r="F84" s="217"/>
      <c r="G84" s="217"/>
      <c r="H84" s="217"/>
      <c r="I84" s="217"/>
      <c r="J84" s="217"/>
      <c r="K84" s="217"/>
      <c r="L84" s="217"/>
      <c r="M84" s="217"/>
      <c r="N84" s="121"/>
    </row>
    <row r="85" spans="2:14" x14ac:dyDescent="0.35">
      <c r="B85" s="213"/>
      <c r="C85" s="217"/>
      <c r="D85" s="217"/>
      <c r="E85" s="217"/>
      <c r="F85" s="217"/>
      <c r="G85" s="217"/>
      <c r="H85" s="217"/>
      <c r="I85" s="217"/>
      <c r="J85" s="217"/>
      <c r="K85" s="217"/>
      <c r="L85" s="217"/>
      <c r="M85" s="217"/>
      <c r="N85" s="121"/>
    </row>
    <row r="86" spans="2:14" ht="31.5" customHeight="1" x14ac:dyDescent="0.35">
      <c r="B86" s="260" t="s">
        <v>182</v>
      </c>
      <c r="C86" s="261"/>
      <c r="D86" s="261"/>
      <c r="E86" s="261"/>
      <c r="F86" s="261"/>
      <c r="G86" s="261"/>
      <c r="H86" s="261"/>
      <c r="I86" s="261"/>
      <c r="J86" s="261"/>
      <c r="K86" s="261"/>
      <c r="L86" s="261"/>
      <c r="M86" s="261"/>
      <c r="N86" s="121"/>
    </row>
    <row r="87" spans="2:14" x14ac:dyDescent="0.35">
      <c r="B87" s="213" t="s">
        <v>274</v>
      </c>
      <c r="C87" s="217"/>
      <c r="D87" s="267" t="s">
        <v>218</v>
      </c>
      <c r="E87" s="267"/>
      <c r="F87" s="267"/>
      <c r="G87" s="267"/>
      <c r="H87" s="267"/>
      <c r="I87" s="217"/>
      <c r="J87" s="217"/>
      <c r="K87" s="217"/>
      <c r="L87" s="217"/>
      <c r="M87" s="217"/>
      <c r="N87" s="121"/>
    </row>
    <row r="88" spans="2:14" x14ac:dyDescent="0.35">
      <c r="B88" s="213" t="s">
        <v>219</v>
      </c>
      <c r="C88" s="217"/>
      <c r="D88" s="217"/>
      <c r="E88" s="217"/>
      <c r="F88" s="217"/>
      <c r="G88" s="217"/>
      <c r="H88" s="217"/>
      <c r="I88" s="217"/>
      <c r="J88" s="217"/>
      <c r="K88" s="217"/>
      <c r="L88" s="217"/>
      <c r="M88" s="217"/>
      <c r="N88" s="121"/>
    </row>
    <row r="89" spans="2:14" ht="28.5" customHeight="1" x14ac:dyDescent="0.35">
      <c r="B89" s="262" t="s">
        <v>171</v>
      </c>
      <c r="C89" s="263"/>
      <c r="D89" s="263"/>
      <c r="E89" s="263"/>
      <c r="F89" s="263"/>
      <c r="G89" s="263"/>
      <c r="H89" s="263"/>
      <c r="I89" s="263"/>
      <c r="J89" s="263"/>
      <c r="K89" s="263"/>
      <c r="L89" s="263"/>
      <c r="M89" s="263"/>
      <c r="N89" s="121"/>
    </row>
    <row r="90" spans="2:14" ht="30" customHeight="1" x14ac:dyDescent="0.35">
      <c r="B90" s="262" t="s">
        <v>172</v>
      </c>
      <c r="C90" s="263"/>
      <c r="D90" s="263"/>
      <c r="E90" s="263"/>
      <c r="F90" s="263"/>
      <c r="G90" s="263"/>
      <c r="H90" s="263"/>
      <c r="I90" s="263"/>
      <c r="J90" s="263"/>
      <c r="K90" s="263"/>
      <c r="L90" s="263"/>
      <c r="M90" s="263"/>
      <c r="N90" s="121"/>
    </row>
    <row r="91" spans="2:14" ht="33.75" customHeight="1" x14ac:dyDescent="0.35">
      <c r="B91" s="262" t="s">
        <v>173</v>
      </c>
      <c r="C91" s="263"/>
      <c r="D91" s="263"/>
      <c r="E91" s="263"/>
      <c r="F91" s="263"/>
      <c r="G91" s="263"/>
      <c r="H91" s="263"/>
      <c r="I91" s="263"/>
      <c r="J91" s="263"/>
      <c r="K91" s="263"/>
      <c r="L91" s="263"/>
      <c r="M91" s="263"/>
      <c r="N91" s="121"/>
    </row>
    <row r="92" spans="2:14" x14ac:dyDescent="0.35">
      <c r="B92" s="213"/>
      <c r="C92" s="217"/>
      <c r="D92" s="217"/>
      <c r="E92" s="217"/>
      <c r="F92" s="217"/>
      <c r="G92" s="217"/>
      <c r="H92" s="217"/>
      <c r="I92" s="217"/>
      <c r="J92" s="217"/>
      <c r="K92" s="217"/>
      <c r="L92" s="217"/>
      <c r="M92" s="217"/>
      <c r="N92" s="121"/>
    </row>
    <row r="93" spans="2:14" x14ac:dyDescent="0.35">
      <c r="B93" s="260" t="s">
        <v>183</v>
      </c>
      <c r="C93" s="261"/>
      <c r="D93" s="261"/>
      <c r="E93" s="261"/>
      <c r="F93" s="261"/>
      <c r="G93" s="261"/>
      <c r="H93" s="261"/>
      <c r="I93" s="261"/>
      <c r="J93" s="261"/>
      <c r="K93" s="261"/>
      <c r="L93" s="261"/>
      <c r="M93" s="261"/>
      <c r="N93" s="266"/>
    </row>
    <row r="94" spans="2:14" x14ac:dyDescent="0.35">
      <c r="B94" s="213" t="s">
        <v>273</v>
      </c>
      <c r="C94" s="217"/>
      <c r="D94" s="267" t="s">
        <v>142</v>
      </c>
      <c r="E94" s="267"/>
      <c r="F94" s="267"/>
      <c r="G94" s="267"/>
      <c r="H94" s="267"/>
      <c r="I94" s="267"/>
      <c r="J94" s="267"/>
      <c r="K94" s="217"/>
      <c r="L94" s="217"/>
      <c r="M94" s="217"/>
      <c r="N94" s="121"/>
    </row>
    <row r="95" spans="2:14" x14ac:dyDescent="0.35">
      <c r="B95" s="257" t="s">
        <v>174</v>
      </c>
      <c r="C95" s="258"/>
      <c r="D95" s="258"/>
      <c r="E95" s="258"/>
      <c r="F95" s="258"/>
      <c r="G95" s="258"/>
      <c r="H95" s="258"/>
      <c r="I95" s="258"/>
      <c r="J95" s="258"/>
      <c r="K95" s="258"/>
      <c r="L95" s="258"/>
      <c r="M95" s="258"/>
      <c r="N95" s="121"/>
    </row>
    <row r="96" spans="2:14" ht="18.75" customHeight="1" x14ac:dyDescent="0.35">
      <c r="B96" s="262" t="s">
        <v>207</v>
      </c>
      <c r="C96" s="263"/>
      <c r="D96" s="263"/>
      <c r="E96" s="263"/>
      <c r="F96" s="263"/>
      <c r="G96" s="263"/>
      <c r="H96" s="263"/>
      <c r="I96" s="263"/>
      <c r="J96" s="263"/>
      <c r="K96" s="263"/>
      <c r="L96" s="263"/>
      <c r="M96" s="263"/>
      <c r="N96" s="121"/>
    </row>
    <row r="97" spans="2:14" x14ac:dyDescent="0.35">
      <c r="B97" s="257" t="s">
        <v>175</v>
      </c>
      <c r="C97" s="258"/>
      <c r="D97" s="258"/>
      <c r="E97" s="258"/>
      <c r="F97" s="258"/>
      <c r="G97" s="258"/>
      <c r="H97" s="258"/>
      <c r="I97" s="258"/>
      <c r="J97" s="258"/>
      <c r="K97" s="258"/>
      <c r="L97" s="258"/>
      <c r="M97" s="258"/>
      <c r="N97" s="121"/>
    </row>
    <row r="98" spans="2:14" ht="15" thickBot="1" x14ac:dyDescent="0.4">
      <c r="B98" s="123"/>
      <c r="C98" s="124"/>
      <c r="D98" s="124"/>
      <c r="E98" s="124"/>
      <c r="F98" s="124"/>
      <c r="G98" s="124"/>
      <c r="H98" s="124"/>
      <c r="I98" s="124"/>
      <c r="J98" s="124"/>
      <c r="K98" s="124"/>
      <c r="L98" s="124"/>
      <c r="M98" s="124"/>
      <c r="N98" s="121"/>
    </row>
    <row r="99" spans="2:14" ht="15" thickTop="1" x14ac:dyDescent="0.35">
      <c r="B99" s="138"/>
      <c r="C99" s="215"/>
      <c r="D99" s="215"/>
      <c r="E99" s="215"/>
      <c r="F99" s="215"/>
      <c r="G99" s="215"/>
      <c r="H99" s="215"/>
      <c r="I99" s="215"/>
      <c r="J99" s="215"/>
      <c r="K99" s="215"/>
      <c r="L99" s="215"/>
      <c r="M99" s="215"/>
      <c r="N99" s="216"/>
    </row>
    <row r="100" spans="2:14" x14ac:dyDescent="0.35">
      <c r="B100" s="215"/>
      <c r="C100" s="215"/>
      <c r="D100" s="215"/>
      <c r="E100" s="215"/>
      <c r="F100" s="215"/>
      <c r="G100" s="215"/>
      <c r="H100" s="215"/>
      <c r="I100" s="215"/>
      <c r="J100" s="215"/>
      <c r="K100" s="215"/>
      <c r="L100" s="215"/>
      <c r="M100" s="215"/>
    </row>
    <row r="101" spans="2:14" x14ac:dyDescent="0.35">
      <c r="B101" s="215"/>
      <c r="C101" s="215"/>
      <c r="D101" s="215"/>
      <c r="E101" s="215"/>
      <c r="F101" s="215"/>
      <c r="G101" s="215"/>
      <c r="H101" s="215"/>
      <c r="I101" s="215"/>
      <c r="J101" s="215"/>
      <c r="K101" s="215"/>
      <c r="L101" s="215"/>
      <c r="M101" s="215"/>
    </row>
    <row r="102" spans="2:14" x14ac:dyDescent="0.35">
      <c r="B102" s="215"/>
      <c r="C102" s="215"/>
      <c r="D102" s="215"/>
      <c r="E102" s="215"/>
      <c r="F102" s="215"/>
      <c r="G102" s="215"/>
      <c r="H102" s="215"/>
      <c r="I102" s="215"/>
      <c r="J102" s="215"/>
      <c r="K102" s="215"/>
      <c r="L102" s="215"/>
      <c r="M102" s="215"/>
    </row>
    <row r="103" spans="2:14" x14ac:dyDescent="0.35">
      <c r="B103" s="215"/>
      <c r="C103" s="215"/>
      <c r="D103" s="215"/>
      <c r="E103" s="215"/>
      <c r="F103" s="215"/>
      <c r="G103" s="215"/>
      <c r="H103" s="215"/>
      <c r="I103" s="215"/>
      <c r="J103" s="215"/>
      <c r="K103" s="215"/>
      <c r="L103" s="215"/>
      <c r="M103" s="215"/>
    </row>
    <row r="104" spans="2:14" x14ac:dyDescent="0.35">
      <c r="B104" s="215"/>
      <c r="C104" s="215"/>
      <c r="D104" s="215"/>
      <c r="E104" s="215"/>
      <c r="F104" s="215"/>
      <c r="G104" s="215"/>
      <c r="H104" s="215"/>
      <c r="I104" s="215"/>
      <c r="J104" s="215"/>
      <c r="K104" s="215"/>
      <c r="L104" s="215"/>
      <c r="M104" s="215"/>
    </row>
    <row r="105" spans="2:14" x14ac:dyDescent="0.35">
      <c r="B105" s="215"/>
      <c r="C105" s="215"/>
      <c r="D105" s="215"/>
      <c r="E105" s="215"/>
      <c r="F105" s="215"/>
      <c r="G105" s="215"/>
      <c r="H105" s="215"/>
      <c r="I105" s="215"/>
      <c r="J105" s="215"/>
      <c r="K105" s="215"/>
      <c r="L105" s="215"/>
      <c r="M105" s="215"/>
    </row>
    <row r="106" spans="2:14" x14ac:dyDescent="0.35">
      <c r="B106" s="215"/>
      <c r="C106" s="215"/>
      <c r="D106" s="215"/>
      <c r="E106" s="215"/>
      <c r="F106" s="215"/>
      <c r="G106" s="215"/>
      <c r="H106" s="215"/>
      <c r="I106" s="215"/>
      <c r="J106" s="215"/>
      <c r="K106" s="215"/>
      <c r="L106" s="215"/>
      <c r="M106" s="215"/>
    </row>
    <row r="107" spans="2:14" x14ac:dyDescent="0.35">
      <c r="B107" s="215"/>
      <c r="C107" s="215"/>
      <c r="D107" s="215"/>
      <c r="E107" s="215"/>
      <c r="F107" s="215"/>
      <c r="G107" s="215"/>
      <c r="H107" s="215"/>
      <c r="I107" s="215"/>
      <c r="J107" s="215"/>
      <c r="K107" s="215"/>
      <c r="L107" s="215"/>
      <c r="M107" s="215"/>
    </row>
    <row r="108" spans="2:14" x14ac:dyDescent="0.35">
      <c r="B108" s="215"/>
      <c r="C108" s="215"/>
      <c r="D108" s="215"/>
      <c r="E108" s="215"/>
      <c r="F108" s="215"/>
      <c r="G108" s="215"/>
      <c r="H108" s="215"/>
      <c r="I108" s="215"/>
      <c r="J108" s="215"/>
      <c r="K108" s="215"/>
      <c r="L108" s="215"/>
      <c r="M108" s="215"/>
    </row>
    <row r="109" spans="2:14" x14ac:dyDescent="0.35">
      <c r="B109" s="215"/>
      <c r="C109" s="215"/>
      <c r="D109" s="215"/>
      <c r="E109" s="215"/>
      <c r="F109" s="215"/>
      <c r="G109" s="215"/>
      <c r="H109" s="215"/>
      <c r="I109" s="215"/>
      <c r="J109" s="215"/>
      <c r="K109" s="215"/>
      <c r="L109" s="215"/>
      <c r="M109" s="215"/>
    </row>
    <row r="110" spans="2:14" x14ac:dyDescent="0.35">
      <c r="B110" s="215"/>
      <c r="C110" s="215"/>
      <c r="D110" s="215"/>
      <c r="E110" s="215"/>
      <c r="F110" s="215"/>
      <c r="G110" s="215"/>
      <c r="H110" s="215"/>
      <c r="I110" s="215"/>
      <c r="J110" s="215"/>
      <c r="K110" s="215"/>
      <c r="L110" s="215"/>
      <c r="M110" s="215"/>
    </row>
    <row r="111" spans="2:14" x14ac:dyDescent="0.35">
      <c r="B111" s="215"/>
      <c r="C111" s="215"/>
      <c r="D111" s="215"/>
      <c r="E111" s="215"/>
      <c r="F111" s="215"/>
      <c r="G111" s="215"/>
      <c r="H111" s="215"/>
      <c r="I111" s="215"/>
      <c r="J111" s="215"/>
      <c r="K111" s="215"/>
      <c r="L111" s="215"/>
      <c r="M111" s="215"/>
    </row>
    <row r="112" spans="2:14" x14ac:dyDescent="0.35">
      <c r="B112" s="215"/>
      <c r="C112" s="215"/>
      <c r="D112" s="215"/>
      <c r="E112" s="215"/>
      <c r="F112" s="215"/>
      <c r="G112" s="215"/>
      <c r="H112" s="215"/>
      <c r="I112" s="215"/>
      <c r="J112" s="215"/>
      <c r="K112" s="215"/>
      <c r="L112" s="215"/>
      <c r="M112" s="215"/>
    </row>
    <row r="113" spans="2:13" x14ac:dyDescent="0.35">
      <c r="B113" s="215"/>
      <c r="C113" s="215"/>
      <c r="D113" s="215"/>
      <c r="E113" s="215"/>
      <c r="F113" s="215"/>
      <c r="G113" s="215"/>
      <c r="H113" s="215"/>
      <c r="I113" s="215"/>
      <c r="J113" s="215"/>
      <c r="K113" s="215"/>
      <c r="L113" s="215"/>
      <c r="M113" s="215"/>
    </row>
    <row r="114" spans="2:13" x14ac:dyDescent="0.35">
      <c r="B114" s="215"/>
      <c r="C114" s="215"/>
      <c r="D114" s="215"/>
      <c r="E114" s="215"/>
      <c r="F114" s="215"/>
      <c r="G114" s="215"/>
      <c r="H114" s="215"/>
      <c r="I114" s="215"/>
      <c r="J114" s="215"/>
      <c r="K114" s="215"/>
      <c r="L114" s="215"/>
      <c r="M114" s="215"/>
    </row>
    <row r="115" spans="2:13" x14ac:dyDescent="0.35">
      <c r="B115" s="215"/>
      <c r="C115" s="215"/>
      <c r="D115" s="215"/>
      <c r="E115" s="215"/>
      <c r="F115" s="215"/>
      <c r="G115" s="215"/>
      <c r="H115" s="215"/>
      <c r="I115" s="215"/>
      <c r="J115" s="215"/>
      <c r="K115" s="215"/>
      <c r="L115" s="215"/>
      <c r="M115" s="215"/>
    </row>
    <row r="116" spans="2:13" x14ac:dyDescent="0.35">
      <c r="B116" s="215"/>
      <c r="C116" s="215"/>
      <c r="D116" s="215"/>
      <c r="E116" s="215"/>
      <c r="F116" s="215"/>
      <c r="G116" s="215"/>
      <c r="H116" s="215"/>
      <c r="I116" s="215"/>
      <c r="J116" s="215"/>
      <c r="K116" s="215"/>
      <c r="L116" s="215"/>
      <c r="M116" s="215"/>
    </row>
    <row r="117" spans="2:13" x14ac:dyDescent="0.35">
      <c r="B117" s="215"/>
      <c r="C117" s="215"/>
      <c r="D117" s="215"/>
      <c r="E117" s="215"/>
      <c r="F117" s="215"/>
      <c r="G117" s="215"/>
      <c r="H117" s="215"/>
      <c r="I117" s="215"/>
      <c r="J117" s="215"/>
      <c r="K117" s="215"/>
      <c r="L117" s="215"/>
      <c r="M117" s="215"/>
    </row>
    <row r="118" spans="2:13" x14ac:dyDescent="0.35">
      <c r="B118" s="215"/>
      <c r="C118" s="215"/>
      <c r="D118" s="215"/>
      <c r="E118" s="215"/>
      <c r="F118" s="215"/>
      <c r="G118" s="215"/>
      <c r="H118" s="215"/>
      <c r="I118" s="215"/>
      <c r="J118" s="215"/>
      <c r="K118" s="215"/>
      <c r="L118" s="215"/>
      <c r="M118" s="215"/>
    </row>
    <row r="119" spans="2:13" x14ac:dyDescent="0.35">
      <c r="B119" s="215"/>
      <c r="C119" s="215"/>
      <c r="D119" s="215"/>
      <c r="E119" s="215"/>
      <c r="F119" s="215"/>
      <c r="G119" s="215"/>
      <c r="H119" s="215"/>
      <c r="I119" s="215"/>
      <c r="J119" s="215"/>
      <c r="K119" s="215"/>
      <c r="L119" s="215"/>
      <c r="M119" s="215"/>
    </row>
    <row r="120" spans="2:13" x14ac:dyDescent="0.35">
      <c r="B120" s="215"/>
      <c r="C120" s="215"/>
      <c r="D120" s="215"/>
      <c r="E120" s="215"/>
      <c r="F120" s="215"/>
      <c r="G120" s="215"/>
      <c r="H120" s="215"/>
      <c r="I120" s="215"/>
      <c r="J120" s="215"/>
      <c r="K120" s="215"/>
      <c r="L120" s="215"/>
      <c r="M120" s="215"/>
    </row>
    <row r="121" spans="2:13" x14ac:dyDescent="0.35">
      <c r="B121" s="215"/>
      <c r="C121" s="215"/>
      <c r="D121" s="215"/>
      <c r="E121" s="215"/>
      <c r="F121" s="215"/>
      <c r="G121" s="215"/>
      <c r="H121" s="215"/>
      <c r="I121" s="215"/>
      <c r="J121" s="215"/>
      <c r="K121" s="215"/>
      <c r="L121" s="215"/>
      <c r="M121" s="215"/>
    </row>
    <row r="122" spans="2:13" x14ac:dyDescent="0.35">
      <c r="B122" s="215"/>
      <c r="C122" s="215"/>
      <c r="D122" s="215"/>
      <c r="E122" s="215"/>
      <c r="F122" s="215"/>
      <c r="G122" s="215"/>
      <c r="H122" s="215"/>
      <c r="I122" s="215"/>
      <c r="J122" s="215"/>
      <c r="K122" s="215"/>
      <c r="L122" s="215"/>
      <c r="M122" s="215"/>
    </row>
    <row r="123" spans="2:13" x14ac:dyDescent="0.35">
      <c r="B123" s="215"/>
      <c r="C123" s="215"/>
      <c r="D123" s="215"/>
      <c r="E123" s="215"/>
      <c r="F123" s="215"/>
      <c r="G123" s="215"/>
      <c r="H123" s="215"/>
      <c r="I123" s="215"/>
      <c r="J123" s="215"/>
      <c r="K123" s="215"/>
      <c r="L123" s="215"/>
      <c r="M123" s="215"/>
    </row>
    <row r="124" spans="2:13" x14ac:dyDescent="0.35">
      <c r="B124" s="215"/>
      <c r="C124" s="215"/>
      <c r="D124" s="215"/>
      <c r="E124" s="215"/>
      <c r="F124" s="215"/>
      <c r="G124" s="215"/>
      <c r="H124" s="215"/>
      <c r="I124" s="215"/>
      <c r="J124" s="215"/>
      <c r="K124" s="215"/>
      <c r="L124" s="215"/>
      <c r="M124" s="215"/>
    </row>
    <row r="125" spans="2:13" x14ac:dyDescent="0.35">
      <c r="B125" s="215"/>
      <c r="C125" s="215"/>
      <c r="D125" s="215"/>
      <c r="E125" s="215"/>
      <c r="F125" s="215"/>
      <c r="G125" s="215"/>
      <c r="H125" s="215"/>
      <c r="I125" s="215"/>
      <c r="J125" s="215"/>
      <c r="K125" s="215"/>
      <c r="L125" s="215"/>
      <c r="M125" s="215"/>
    </row>
    <row r="126" spans="2:13" x14ac:dyDescent="0.35">
      <c r="B126" s="215"/>
      <c r="C126" s="215"/>
      <c r="D126" s="215"/>
      <c r="E126" s="215"/>
      <c r="F126" s="215"/>
      <c r="G126" s="215"/>
      <c r="H126" s="215"/>
      <c r="I126" s="215"/>
      <c r="J126" s="215"/>
      <c r="K126" s="215"/>
      <c r="L126" s="215"/>
      <c r="M126" s="215"/>
    </row>
    <row r="127" spans="2:13" x14ac:dyDescent="0.35">
      <c r="B127" s="215"/>
      <c r="C127" s="215"/>
      <c r="D127" s="215"/>
      <c r="E127" s="215"/>
      <c r="F127" s="215"/>
      <c r="G127" s="215"/>
      <c r="H127" s="215"/>
      <c r="I127" s="215"/>
      <c r="J127" s="215"/>
      <c r="K127" s="215"/>
      <c r="L127" s="215"/>
      <c r="M127" s="215"/>
    </row>
    <row r="128" spans="2:13" x14ac:dyDescent="0.35">
      <c r="B128" s="215"/>
      <c r="C128" s="215"/>
      <c r="D128" s="215"/>
      <c r="E128" s="215"/>
      <c r="F128" s="215"/>
      <c r="G128" s="215"/>
      <c r="H128" s="215"/>
      <c r="I128" s="215"/>
      <c r="J128" s="215"/>
      <c r="K128" s="215"/>
      <c r="L128" s="215"/>
      <c r="M128" s="215"/>
    </row>
    <row r="129" spans="2:13" x14ac:dyDescent="0.35">
      <c r="B129" s="215"/>
      <c r="C129" s="215"/>
      <c r="D129" s="215"/>
      <c r="E129" s="215"/>
      <c r="F129" s="215"/>
      <c r="G129" s="215"/>
      <c r="H129" s="215"/>
      <c r="I129" s="215"/>
      <c r="J129" s="215"/>
      <c r="K129" s="215"/>
      <c r="L129" s="215"/>
      <c r="M129" s="215"/>
    </row>
    <row r="130" spans="2:13" x14ac:dyDescent="0.35">
      <c r="B130" s="215"/>
      <c r="C130" s="215"/>
      <c r="D130" s="215"/>
      <c r="E130" s="215"/>
      <c r="F130" s="215"/>
      <c r="G130" s="215"/>
      <c r="H130" s="215"/>
      <c r="I130" s="215"/>
      <c r="J130" s="215"/>
      <c r="K130" s="215"/>
      <c r="L130" s="215"/>
      <c r="M130" s="215"/>
    </row>
    <row r="131" spans="2:13" x14ac:dyDescent="0.35">
      <c r="B131" s="215"/>
      <c r="C131" s="215"/>
      <c r="D131" s="215"/>
      <c r="E131" s="215"/>
      <c r="F131" s="215"/>
      <c r="G131" s="215"/>
      <c r="H131" s="215"/>
      <c r="I131" s="215"/>
      <c r="J131" s="215"/>
      <c r="K131" s="215"/>
      <c r="L131" s="215"/>
      <c r="M131" s="215"/>
    </row>
    <row r="132" spans="2:13" x14ac:dyDescent="0.35">
      <c r="B132" s="215"/>
      <c r="C132" s="215"/>
      <c r="D132" s="215"/>
      <c r="E132" s="215"/>
      <c r="F132" s="215"/>
      <c r="G132" s="215"/>
      <c r="H132" s="215"/>
      <c r="I132" s="215"/>
      <c r="J132" s="215"/>
      <c r="K132" s="215"/>
      <c r="L132" s="215"/>
      <c r="M132" s="215"/>
    </row>
    <row r="133" spans="2:13" x14ac:dyDescent="0.35">
      <c r="B133" s="215"/>
      <c r="C133" s="215"/>
      <c r="D133" s="215"/>
      <c r="E133" s="215"/>
      <c r="F133" s="215"/>
      <c r="G133" s="215"/>
      <c r="H133" s="215"/>
      <c r="I133" s="215"/>
      <c r="J133" s="215"/>
      <c r="K133" s="215"/>
      <c r="L133" s="215"/>
      <c r="M133" s="215"/>
    </row>
  </sheetData>
  <sheetProtection algorithmName="SHA-512" hashValue="wnJu7BReJF1kCj7sMWPdQ3eJ9jpAD5Yve7g3KkZx4PcucqwMnHVqWdWO9HqpHnxb5I9fgzHXOcksHItDW9mxzw==" saltValue="wQOVCh4Jjo1DP46N3UJ2ew==" spinCount="100000" sheet="1" objects="1" scenarios="1" selectLockedCells="1" selectUnlockedCells="1"/>
  <mergeCells count="40">
    <mergeCell ref="D94:J94"/>
    <mergeCell ref="B95:M95"/>
    <mergeCell ref="B96:M96"/>
    <mergeCell ref="B97:M97"/>
    <mergeCell ref="B86:M86"/>
    <mergeCell ref="D87:H87"/>
    <mergeCell ref="B89:M89"/>
    <mergeCell ref="B90:M90"/>
    <mergeCell ref="B91:M91"/>
    <mergeCell ref="B93:N93"/>
    <mergeCell ref="B76:M76"/>
    <mergeCell ref="B77:M77"/>
    <mergeCell ref="B80:N80"/>
    <mergeCell ref="D81:H81"/>
    <mergeCell ref="B82:M82"/>
    <mergeCell ref="B64:M64"/>
    <mergeCell ref="B66:M66"/>
    <mergeCell ref="B72:M72"/>
    <mergeCell ref="B74:N74"/>
    <mergeCell ref="D75:I75"/>
    <mergeCell ref="B56:M56"/>
    <mergeCell ref="B58:M58"/>
    <mergeCell ref="B61:M61"/>
    <mergeCell ref="B62:M62"/>
    <mergeCell ref="B63:M63"/>
    <mergeCell ref="B50:M50"/>
    <mergeCell ref="B51:M51"/>
    <mergeCell ref="B52:M52"/>
    <mergeCell ref="B53:M53"/>
    <mergeCell ref="B54:M54"/>
    <mergeCell ref="B44:M44"/>
    <mergeCell ref="B46:M46"/>
    <mergeCell ref="B47:M47"/>
    <mergeCell ref="B48:M48"/>
    <mergeCell ref="B49:M49"/>
    <mergeCell ref="B3:N5"/>
    <mergeCell ref="B7:M7"/>
    <mergeCell ref="B27:M27"/>
    <mergeCell ref="B37:M37"/>
    <mergeCell ref="B40:M40"/>
  </mergeCells>
  <hyperlinks>
    <hyperlink ref="D75" r:id="rId1"/>
    <hyperlink ref="D81" r:id="rId2" location="."/>
    <hyperlink ref="D94" r:id="rId3"/>
    <hyperlink ref="D87" r:id="rId4"/>
  </hyperlinks>
  <pageMargins left="0.7" right="0.7" top="0.75" bottom="0.75" header="0.3" footer="0.3"/>
  <pageSetup paperSize="9"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6"/>
  <sheetViews>
    <sheetView showRowColHeaders="0" topLeftCell="A3" zoomScaleNormal="100" workbookViewId="0">
      <selection activeCell="D7" sqref="D7:K7"/>
    </sheetView>
  </sheetViews>
  <sheetFormatPr defaultColWidth="9.26953125" defaultRowHeight="14.5" x14ac:dyDescent="0.35"/>
  <cols>
    <col min="1" max="1" width="9.26953125" style="136"/>
    <col min="2" max="2" width="3.7265625" style="136" customWidth="1"/>
    <col min="3" max="3" width="30.54296875" style="136" customWidth="1"/>
    <col min="4" max="4" width="11.26953125" style="136" bestFit="1" customWidth="1"/>
    <col min="5" max="10" width="9.26953125" style="136"/>
    <col min="11" max="11" width="10.26953125" style="136" customWidth="1"/>
    <col min="12" max="12" width="4.26953125" style="136" customWidth="1"/>
    <col min="13" max="16384" width="9.26953125" style="136"/>
  </cols>
  <sheetData>
    <row r="2" spans="1:14" ht="15" thickBot="1" x14ac:dyDescent="0.4"/>
    <row r="3" spans="1:14" ht="15.75" customHeight="1" thickTop="1" x14ac:dyDescent="0.35">
      <c r="B3" s="239" t="s">
        <v>216</v>
      </c>
      <c r="C3" s="240"/>
      <c r="D3" s="240"/>
      <c r="E3" s="240"/>
      <c r="F3" s="240"/>
      <c r="G3" s="240"/>
      <c r="H3" s="240"/>
      <c r="I3" s="240"/>
      <c r="J3" s="240"/>
      <c r="K3" s="240"/>
      <c r="L3" s="241"/>
    </row>
    <row r="4" spans="1:14" ht="15" customHeight="1" x14ac:dyDescent="0.35">
      <c r="B4" s="242"/>
      <c r="C4" s="269"/>
      <c r="D4" s="269"/>
      <c r="E4" s="269"/>
      <c r="F4" s="269"/>
      <c r="G4" s="269"/>
      <c r="H4" s="269"/>
      <c r="I4" s="269"/>
      <c r="J4" s="269"/>
      <c r="K4" s="269"/>
      <c r="L4" s="244"/>
    </row>
    <row r="5" spans="1:14" ht="15" customHeight="1" x14ac:dyDescent="0.35">
      <c r="B5" s="242"/>
      <c r="C5" s="269"/>
      <c r="D5" s="269"/>
      <c r="E5" s="269"/>
      <c r="F5" s="269"/>
      <c r="G5" s="269"/>
      <c r="H5" s="269"/>
      <c r="I5" s="269"/>
      <c r="J5" s="269"/>
      <c r="K5" s="269"/>
      <c r="L5" s="244"/>
    </row>
    <row r="6" spans="1:14" ht="21" customHeight="1" x14ac:dyDescent="0.35">
      <c r="B6" s="131"/>
      <c r="C6" s="144"/>
      <c r="D6" s="144"/>
      <c r="E6" s="144"/>
      <c r="F6" s="144"/>
      <c r="G6" s="144"/>
      <c r="H6" s="144"/>
      <c r="I6" s="144"/>
      <c r="J6" s="144"/>
      <c r="K6" s="144"/>
      <c r="L6" s="121"/>
    </row>
    <row r="7" spans="1:14" ht="17" thickBot="1" x14ac:dyDescent="0.4">
      <c r="A7" s="139"/>
      <c r="B7" s="131"/>
      <c r="C7" s="73" t="s">
        <v>133</v>
      </c>
      <c r="D7" s="270"/>
      <c r="E7" s="270"/>
      <c r="F7" s="270"/>
      <c r="G7" s="270"/>
      <c r="H7" s="270"/>
      <c r="I7" s="270"/>
      <c r="J7" s="270"/>
      <c r="K7" s="270"/>
      <c r="L7" s="146"/>
      <c r="M7" s="141"/>
      <c r="N7" s="139"/>
    </row>
    <row r="8" spans="1:14" ht="35.25" customHeight="1" thickBot="1" x14ac:dyDescent="0.4">
      <c r="A8" s="139"/>
      <c r="B8" s="131"/>
      <c r="C8" s="58" t="s">
        <v>69</v>
      </c>
      <c r="D8" s="271"/>
      <c r="E8" s="271"/>
      <c r="F8" s="271"/>
      <c r="G8" s="271"/>
      <c r="H8" s="271"/>
      <c r="I8" s="271"/>
      <c r="J8" s="271"/>
      <c r="K8" s="271"/>
      <c r="L8" s="145"/>
      <c r="M8" s="139"/>
    </row>
    <row r="9" spans="1:14" ht="39.75" customHeight="1" thickBot="1" x14ac:dyDescent="0.4">
      <c r="A9" s="139"/>
      <c r="B9" s="131"/>
      <c r="C9" s="149" t="s">
        <v>67</v>
      </c>
      <c r="D9" s="271"/>
      <c r="E9" s="271"/>
      <c r="F9" s="271"/>
      <c r="G9" s="271"/>
      <c r="H9" s="271"/>
      <c r="I9" s="271"/>
      <c r="J9" s="271"/>
      <c r="K9" s="271"/>
      <c r="L9" s="147"/>
    </row>
    <row r="10" spans="1:14" ht="97.5" customHeight="1" x14ac:dyDescent="0.35">
      <c r="A10" s="139"/>
      <c r="B10" s="131"/>
      <c r="C10" s="150" t="s">
        <v>68</v>
      </c>
      <c r="D10" s="272"/>
      <c r="E10" s="272"/>
      <c r="F10" s="272"/>
      <c r="G10" s="272"/>
      <c r="H10" s="272"/>
      <c r="I10" s="272"/>
      <c r="J10" s="272"/>
      <c r="K10" s="272"/>
      <c r="L10" s="147"/>
    </row>
    <row r="11" spans="1:14" ht="18.75" customHeight="1" thickBot="1" x14ac:dyDescent="0.4">
      <c r="A11" s="139"/>
      <c r="B11" s="148"/>
      <c r="C11" s="134"/>
      <c r="D11" s="134"/>
      <c r="E11" s="134"/>
      <c r="F11" s="134"/>
      <c r="G11" s="134"/>
      <c r="H11" s="134"/>
      <c r="I11" s="134"/>
      <c r="J11" s="134"/>
      <c r="K11" s="134"/>
      <c r="L11" s="135"/>
    </row>
    <row r="12" spans="1:14" ht="15" thickTop="1" x14ac:dyDescent="0.35">
      <c r="A12" s="139"/>
      <c r="B12" s="139"/>
      <c r="C12" s="139"/>
      <c r="D12" s="139"/>
      <c r="E12" s="139"/>
      <c r="F12" s="139"/>
    </row>
    <row r="13" spans="1:14" x14ac:dyDescent="0.35">
      <c r="A13" s="139"/>
      <c r="B13" s="139"/>
      <c r="C13" s="139"/>
      <c r="D13" s="139"/>
      <c r="E13" s="139"/>
      <c r="F13" s="139"/>
    </row>
    <row r="14" spans="1:14" x14ac:dyDescent="0.35">
      <c r="A14" s="139"/>
      <c r="B14" s="139"/>
      <c r="C14" s="139"/>
      <c r="D14" s="139"/>
      <c r="E14" s="139"/>
      <c r="F14" s="139"/>
    </row>
    <row r="15" spans="1:14" x14ac:dyDescent="0.35">
      <c r="A15" s="139"/>
      <c r="B15" s="139"/>
      <c r="C15" s="139"/>
      <c r="D15" s="139"/>
      <c r="E15" s="139"/>
      <c r="F15" s="139"/>
    </row>
    <row r="16" spans="1:14" x14ac:dyDescent="0.35">
      <c r="A16" s="139"/>
      <c r="B16" s="139"/>
      <c r="C16" s="139"/>
      <c r="D16" s="139"/>
      <c r="E16" s="139"/>
      <c r="F16" s="139"/>
    </row>
  </sheetData>
  <sheetProtection algorithmName="SHA-512" hashValue="XvGbg26hA9xQgGdwrX3IgnpyNiv/3agS8IkJrCG3fIC0rppJg4MbupAPewyFbgcfYeNRQTIPLiHSSGytvoPGnA==" saltValue="mynH5HbmI2BynBtFF+DQsw==" spinCount="100000" sheet="1" objects="1" scenarios="1"/>
  <protectedRanges>
    <protectedRange algorithmName="SHA-512" hashValue="SHG10UZqZcCCj1TlE0oMrNwpbuNqhSNbZCwxpw++PI3Kxkmq2fWr9Ho16Rbx5ot4bT8+4oJGur23Sg/eixRu2g==" saltValue="jl/WveE0aj4CwYBOiCOlBg==" spinCount="100000" sqref="D7:K10" name="Range1"/>
  </protectedRanges>
  <mergeCells count="5">
    <mergeCell ref="B3:L5"/>
    <mergeCell ref="D7:K7"/>
    <mergeCell ref="D8:K8"/>
    <mergeCell ref="D9:K9"/>
    <mergeCell ref="D10:K10"/>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7"/>
  <sheetViews>
    <sheetView showGridLines="0" showRowColHeaders="0" topLeftCell="A11" zoomScaleNormal="100" workbookViewId="0">
      <selection activeCell="D12" sqref="D12"/>
    </sheetView>
  </sheetViews>
  <sheetFormatPr defaultColWidth="9.26953125" defaultRowHeight="14.5" x14ac:dyDescent="0.35"/>
  <cols>
    <col min="1" max="1" width="9.26953125" style="157" customWidth="1"/>
    <col min="2" max="2" width="4.7265625" style="157" customWidth="1"/>
    <col min="3" max="3" width="33.26953125" style="157" customWidth="1"/>
    <col min="4" max="4" width="26.7265625" style="157" customWidth="1"/>
    <col min="5" max="5" width="11.453125" style="157" customWidth="1"/>
    <col min="6" max="6" width="14.26953125" style="157" customWidth="1"/>
    <col min="7" max="7" width="33.26953125" style="157" customWidth="1"/>
    <col min="8" max="8" width="14.26953125" style="157" customWidth="1"/>
    <col min="9" max="9" width="9" style="157" customWidth="1"/>
    <col min="10" max="10" width="2" style="157" customWidth="1"/>
    <col min="11" max="11" width="7.26953125" style="157" customWidth="1"/>
    <col min="12" max="16384" width="9.26953125" style="157"/>
  </cols>
  <sheetData>
    <row r="3" spans="1:12" x14ac:dyDescent="0.35">
      <c r="A3" s="162"/>
      <c r="B3" s="273" t="s">
        <v>196</v>
      </c>
      <c r="C3" s="274"/>
      <c r="D3" s="274"/>
      <c r="E3" s="274"/>
      <c r="F3" s="274"/>
      <c r="G3" s="274"/>
      <c r="H3" s="274"/>
      <c r="I3" s="274"/>
      <c r="J3" s="275"/>
    </row>
    <row r="4" spans="1:12" x14ac:dyDescent="0.35">
      <c r="A4" s="162"/>
      <c r="B4" s="273"/>
      <c r="C4" s="274"/>
      <c r="D4" s="274"/>
      <c r="E4" s="274"/>
      <c r="F4" s="274"/>
      <c r="G4" s="274"/>
      <c r="H4" s="274"/>
      <c r="I4" s="274"/>
      <c r="J4" s="275"/>
    </row>
    <row r="5" spans="1:12" x14ac:dyDescent="0.35">
      <c r="A5" s="162"/>
      <c r="B5" s="273"/>
      <c r="C5" s="274"/>
      <c r="D5" s="274"/>
      <c r="E5" s="274"/>
      <c r="F5" s="274"/>
      <c r="G5" s="274"/>
      <c r="H5" s="274"/>
      <c r="I5" s="274"/>
      <c r="J5" s="275"/>
      <c r="K5" s="158"/>
      <c r="L5" s="158"/>
    </row>
    <row r="6" spans="1:12" ht="16.5" x14ac:dyDescent="0.35">
      <c r="A6" s="162"/>
      <c r="B6" s="4"/>
      <c r="C6" s="1"/>
      <c r="D6" s="1"/>
      <c r="E6" s="1"/>
      <c r="F6" s="1"/>
      <c r="G6" s="1"/>
      <c r="H6" s="1"/>
      <c r="I6" s="1"/>
      <c r="J6" s="121"/>
      <c r="L6" s="159"/>
    </row>
    <row r="7" spans="1:12" ht="18" customHeight="1" x14ac:dyDescent="0.5">
      <c r="A7" s="162"/>
      <c r="B7" s="4"/>
      <c r="C7" s="278" t="s">
        <v>195</v>
      </c>
      <c r="D7" s="278"/>
      <c r="E7" s="1"/>
      <c r="F7" s="1"/>
      <c r="G7" s="5"/>
      <c r="H7" s="6"/>
      <c r="I7" s="6"/>
      <c r="J7" s="151"/>
      <c r="L7" s="160"/>
    </row>
    <row r="8" spans="1:12" ht="12" customHeight="1" x14ac:dyDescent="0.5">
      <c r="A8" s="162"/>
      <c r="B8" s="4"/>
      <c r="C8" s="1"/>
      <c r="D8" s="1"/>
      <c r="E8" s="1"/>
      <c r="F8" s="1"/>
      <c r="G8" s="3"/>
      <c r="H8" s="3"/>
      <c r="I8" s="3"/>
      <c r="J8" s="152"/>
      <c r="L8" s="160"/>
    </row>
    <row r="9" spans="1:12" ht="22.5" customHeight="1" thickBot="1" x14ac:dyDescent="0.55000000000000004">
      <c r="A9" s="162"/>
      <c r="B9" s="4"/>
      <c r="C9" s="71" t="s">
        <v>71</v>
      </c>
      <c r="D9" s="111"/>
      <c r="E9" s="1"/>
      <c r="F9" s="1"/>
      <c r="G9" s="1"/>
      <c r="H9" s="82"/>
      <c r="I9" s="3"/>
      <c r="J9" s="152"/>
      <c r="L9" s="160"/>
    </row>
    <row r="10" spans="1:12" ht="21" customHeight="1" thickBot="1" x14ac:dyDescent="0.55000000000000004">
      <c r="A10" s="162"/>
      <c r="B10" s="4"/>
      <c r="C10" s="70" t="s">
        <v>72</v>
      </c>
      <c r="D10" s="112">
        <v>2.4</v>
      </c>
      <c r="E10" s="7"/>
      <c r="F10" s="7"/>
      <c r="G10" s="277" t="str">
        <f>IFERROR(IF(AND($D$9&lt;DATE(2025,1,1),OR((VLOOKUP($D$13,Lookups!$C$8:$G$46,2,FALSE))&gt;(VLOOKUP($D$13,Lookups!$C$8:$G$46,4,FALSE)),(VLOOKUP($D$13,Lookups!$C$8:$G$46,3,FALSE))&gt;(VLOOKUP($D$13,Lookups!$C$8:$G$46,5,FALSE)))),"A nutrient permit is changing for the selected WwTW as of 01/01/2025. Therefore, two nutrient budgets will be calculated for the loading before and after the 2025 WwTW permit upgrade.",""),"")</f>
        <v/>
      </c>
      <c r="H10" s="82"/>
      <c r="I10" s="3"/>
      <c r="J10" s="152"/>
      <c r="K10" s="159"/>
      <c r="L10" s="161"/>
    </row>
    <row r="11" spans="1:12" ht="30.75" customHeight="1" thickBot="1" x14ac:dyDescent="0.4">
      <c r="A11" s="162"/>
      <c r="B11" s="4"/>
      <c r="C11" s="70" t="s">
        <v>96</v>
      </c>
      <c r="D11" s="113">
        <v>120</v>
      </c>
      <c r="E11" s="8"/>
      <c r="F11" s="8"/>
      <c r="G11" s="277"/>
      <c r="H11" s="82"/>
      <c r="I11" s="8"/>
      <c r="J11" s="145"/>
      <c r="K11" s="160"/>
      <c r="L11" s="161"/>
    </row>
    <row r="12" spans="1:12" ht="36" customHeight="1" thickBot="1" x14ac:dyDescent="0.4">
      <c r="A12" s="162"/>
      <c r="B12" s="1"/>
      <c r="C12" s="70" t="s">
        <v>282</v>
      </c>
      <c r="D12" s="114"/>
      <c r="E12" s="9"/>
      <c r="F12" s="9"/>
      <c r="G12" s="277"/>
      <c r="H12" s="82"/>
      <c r="I12" s="9"/>
      <c r="J12" s="147"/>
      <c r="K12" s="161"/>
    </row>
    <row r="13" spans="1:12" ht="50.25" customHeight="1" thickBot="1" x14ac:dyDescent="0.4">
      <c r="A13" s="162"/>
      <c r="B13" s="1"/>
      <c r="C13" s="72" t="s">
        <v>209</v>
      </c>
      <c r="D13" s="115"/>
      <c r="E13" s="9"/>
      <c r="F13" s="1"/>
      <c r="G13" s="277"/>
      <c r="H13" s="82"/>
      <c r="I13" s="9"/>
      <c r="J13" s="147"/>
      <c r="K13" s="161"/>
    </row>
    <row r="14" spans="1:12" ht="50.25" customHeight="1" x14ac:dyDescent="0.35">
      <c r="A14" s="162"/>
      <c r="B14" s="1"/>
      <c r="C14" s="32" t="s">
        <v>208</v>
      </c>
      <c r="D14" s="195" t="str">
        <f>(IFERROR(IF(OR(D13="Package Treatment Plant user defined",D13="Septic Tank user defined"),"Please enter value in cell to the right:",IF('Stage 1'!D9&lt;DATE(2025,1,1),VLOOKUP('Stage 1'!D13,Lookups!C8:G49,2,FALSE),VLOOKUP('Stage 1'!D13,Lookups!C8:G48,4,FALSE))),""))</f>
        <v/>
      </c>
      <c r="E14" s="116">
        <v>5</v>
      </c>
      <c r="F14" s="83" t="str">
        <f>IFERROR(IF(AND($D$9&lt;DATE(2025,1,1),(VLOOKUP($D$13,Lookups!$C$8:$G$46,2,FALSE))&gt;(VLOOKUP($D$13,Lookups!$C$8:$G$46,4,FALSE))), "Post 2025 WwTW P permit:",""),"")</f>
        <v/>
      </c>
      <c r="G14" s="85" t="str">
        <f>IFERROR(IF(AND($D$9&lt;DATE(2025,1,1),(VLOOKUP($D$13,Lookups!$C$8:$G$46,2,FALSE))&gt;(VLOOKUP($D$13,Lookups!$C$8:$G$46,4,FALSE))), VLOOKUP('Stage 1'!D13,Lookups!C8:G49,4,FALSE),""),"")</f>
        <v/>
      </c>
      <c r="H14" s="27" t="str">
        <f>IFERROR(IF(AND($D$9&lt;DATE(2025,1,1),(VLOOKUP($D$13,Lookups!$C$8:$G$46,2,FALSE))&gt;(VLOOKUP($D$13,Lookups!$C$8:$G$46,4,FALSE))), "mg TP/litre",""),"")</f>
        <v/>
      </c>
      <c r="I14" s="9"/>
      <c r="J14" s="121"/>
      <c r="K14" s="161"/>
    </row>
    <row r="15" spans="1:12" ht="50.25" hidden="1" customHeight="1" x14ac:dyDescent="0.35">
      <c r="A15" s="162"/>
      <c r="B15" s="1"/>
      <c r="C15" s="69" t="s">
        <v>210</v>
      </c>
      <c r="D15" s="81" t="str">
        <f>IFERROR(IF(OR(D13="Package Treatment Plant user defined",D13="Septic Tank user defined"),"Please enter value in cell to the right:",IF('Stage 1'!D9&lt;DATE(2025,1,1),VLOOKUP('Stage 1'!D13,Lookups!C8:G49, 3,FALSE), VLOOKUP('Stage 1'!D13,Lookups!C8:G48, 5,FALSE))),"")</f>
        <v/>
      </c>
      <c r="E15" s="116"/>
      <c r="F15" s="84" t="str">
        <f>IFERROR(IF(AND($D$9&lt;DATE(2025,1,1),(VLOOKUP($D$13,Lookups!$C$8:$G$46,3,FALSE))&gt;(VLOOKUP($D$13,Lookups!$C$8:$G$46,5,FALSE))), "Post 2025 WwTW N permit:",""),"")</f>
        <v/>
      </c>
      <c r="G15" s="85" t="str">
        <f>IFERROR(IF(AND($D$9&lt;DATE(2025,1,1),(VLOOKUP($D$13,Lookups!$C$8:$G$46,3,FALSE))&gt;(VLOOKUP($D$13,Lookups!$C$8:$G$46,5,FALSE))), VLOOKUP('Stage 1'!D13,Lookups!$C$8:$G$49,5,FALSE),""),"")</f>
        <v/>
      </c>
      <c r="H15" s="27" t="str">
        <f>IFERROR(IF(AND($D$9&lt;DATE(2025,1,1),(VLOOKUP($D$13,Lookups!$C$8:$G$46,3,FALSE))&gt;(VLOOKUP($D$13,Lookups!$C$8:$G$46,5,FALSE))), "mg TN/litre",""),"")</f>
        <v/>
      </c>
      <c r="I15" s="9"/>
      <c r="J15" s="147"/>
      <c r="K15" s="161"/>
    </row>
    <row r="16" spans="1:12" ht="18" customHeight="1" x14ac:dyDescent="0.35">
      <c r="A16" s="162"/>
      <c r="B16" s="1"/>
      <c r="C16" s="1"/>
      <c r="D16" s="4"/>
      <c r="E16" s="1"/>
      <c r="F16" s="1"/>
      <c r="G16" s="1"/>
      <c r="H16" s="1"/>
      <c r="I16" s="1"/>
      <c r="J16" s="121"/>
    </row>
    <row r="17" spans="1:14" ht="17.5" x14ac:dyDescent="0.35">
      <c r="A17" s="162"/>
      <c r="B17" s="1"/>
      <c r="C17" s="278" t="s">
        <v>194</v>
      </c>
      <c r="D17" s="278"/>
      <c r="E17" s="1"/>
      <c r="F17" s="1"/>
      <c r="G17" s="1"/>
      <c r="H17" s="1"/>
      <c r="I17" s="1"/>
      <c r="J17" s="121"/>
    </row>
    <row r="18" spans="1:14" x14ac:dyDescent="0.35">
      <c r="A18" s="162"/>
      <c r="B18" s="1"/>
      <c r="C18" s="1"/>
      <c r="D18" s="1"/>
      <c r="E18" s="1"/>
      <c r="F18" s="1"/>
      <c r="G18" s="1"/>
      <c r="H18" s="1"/>
      <c r="I18" s="1"/>
      <c r="J18" s="153"/>
    </row>
    <row r="19" spans="1:14" ht="3.75" customHeight="1" x14ac:dyDescent="0.35">
      <c r="A19" s="162"/>
      <c r="B19" s="1"/>
      <c r="C19" s="1"/>
      <c r="D19" s="1"/>
      <c r="E19" s="1"/>
      <c r="F19" s="1"/>
      <c r="G19" s="1"/>
      <c r="H19" s="1"/>
      <c r="I19" s="1"/>
      <c r="J19" s="153"/>
      <c r="N19" s="157" t="s">
        <v>134</v>
      </c>
    </row>
    <row r="20" spans="1:14" ht="16" x14ac:dyDescent="0.35">
      <c r="A20" s="162"/>
      <c r="B20" s="1"/>
      <c r="C20" s="276" t="str">
        <f>IFERROR(IF(AND($D$9&lt;DATE(2025,1,1),OR((VLOOKUP($D$13,Lookups!$C$8:$G$46,2,FALSE))&gt;(VLOOKUP($D$13,Lookups!$C$8:$G$46,4,FALSE)),(VLOOKUP($D$13,Lookups!$C$8:$G$46,3,FALSE))&gt;(VLOOKUP($D$13,Lookups!$C$8:$G$46,5,FALSE)))),"Post-2025 Stage 1 Nutrient Loading","Stage 1 Nutrient Loading"),"")</f>
        <v/>
      </c>
      <c r="D20" s="276"/>
      <c r="E20" s="1"/>
      <c r="F20" s="1"/>
      <c r="G20" s="276" t="str">
        <f>IFERROR(IF(AND($D$9&lt;DATE(2025,1,1),OR((VLOOKUP($D$13,Lookups!$C$8:$G$46,2,FALSE))&gt;(VLOOKUP($D$13,Lookups!$C$8:$G$46,4,FALSE)),(VLOOKUP($D$13,Lookups!$C$8:$G$46,3,FALSE))&gt;(VLOOKUP($D$13,Lookups!$C$8:$G$46,5,FALSE)))),"Pre-2025 Stage 1 Nutrient Loading",""),"")</f>
        <v/>
      </c>
      <c r="H20" s="276"/>
      <c r="I20" s="1"/>
      <c r="J20" s="121"/>
    </row>
    <row r="21" spans="1:14" x14ac:dyDescent="0.35">
      <c r="A21" s="162"/>
      <c r="B21" s="1"/>
      <c r="C21" s="1"/>
      <c r="D21" s="1"/>
      <c r="E21" s="1"/>
      <c r="F21" s="1"/>
      <c r="G21" s="1"/>
      <c r="H21" s="1"/>
      <c r="I21" s="1"/>
      <c r="J21" s="153"/>
    </row>
    <row r="22" spans="1:14" ht="17" thickBot="1" x14ac:dyDescent="0.5">
      <c r="A22" s="162"/>
      <c r="B22" s="1"/>
      <c r="C22" s="60" t="s">
        <v>73</v>
      </c>
      <c r="D22" s="61" t="str">
        <f>IF(ISBLANK(D12),"",D10*D12)</f>
        <v/>
      </c>
      <c r="E22" s="29" t="s">
        <v>137</v>
      </c>
      <c r="F22" s="1"/>
      <c r="G22" s="20" t="str">
        <f>IFERROR(IF(AND($D$9&lt;DATE(2025,1,1),OR((VLOOKUP($D$13,Lookups!$C$8:$G$46,2,FALSE))&gt;(VLOOKUP($D$13,Lookups!$C$8:$G$46,4,FALSE)),(VLOOKUP($D$13,Lookups!$C$8:$G$46,3,FALSE))&gt;(VLOOKUP($D$13,Lookups!$C$8:$G$46,5,FALSE)))),"Annual wastewater TP load:",""),"")</f>
        <v/>
      </c>
      <c r="H22" s="22" t="str">
        <f>IFERROR(IF(AND($D$9&lt;DATE(2025,1,1),OR((VLOOKUP($D$13,Lookups!$C$8:$G$46,2,FALSE))&gt;(VLOOKUP($D$13,Lookups!$C$8:$G$46,4,FALSE)),(VLOOKUP($D$13,Lookups!$C$8:$G$46,3,FALSE))&gt;(VLOOKUP($D$13,Lookups!$C$8:$G$46,5,FALSE)))),IF(D14=5,(D14*D$23)/1000000*365.25,(D14*D$23*0.9)/1000000*365.25),""),"")</f>
        <v/>
      </c>
      <c r="I22" s="29" t="str">
        <f>IFERROR(IF(AND($D$9&lt;DATE(2025,1,1),OR((VLOOKUP($D$13,Lookups!$C$8:$G$46,2,FALSE))&gt;(VLOOKUP($D$13,Lookups!$C$8:$G$46,4,FALSE)),(VLOOKUP($D$13,Lookups!$C$8:$G$46,3,FALSE))&gt;(VLOOKUP($D$13,Lookups!$C$8:$G$46,5,FALSE)))),"kg TP/yr",""),"")</f>
        <v/>
      </c>
      <c r="J22" s="154"/>
    </row>
    <row r="23" spans="1:14" ht="15" thickBot="1" x14ac:dyDescent="0.4">
      <c r="A23" s="162"/>
      <c r="B23" s="1"/>
      <c r="C23" s="28" t="s">
        <v>74</v>
      </c>
      <c r="D23" s="59" t="str">
        <f>IFERROR(D22*D11,"")</f>
        <v/>
      </c>
      <c r="E23" s="29" t="s">
        <v>75</v>
      </c>
      <c r="F23" s="1"/>
      <c r="G23" s="196"/>
      <c r="H23" s="196"/>
      <c r="I23" s="196"/>
      <c r="J23" s="121"/>
    </row>
    <row r="24" spans="1:14" hidden="1" x14ac:dyDescent="0.35">
      <c r="A24" s="162"/>
      <c r="B24" s="1"/>
      <c r="C24" s="1"/>
      <c r="D24" s="1"/>
      <c r="E24" s="86"/>
      <c r="F24" s="1"/>
      <c r="G24" s="1"/>
      <c r="H24" s="1"/>
      <c r="I24" s="86"/>
      <c r="J24" s="121"/>
    </row>
    <row r="25" spans="1:14" hidden="1" x14ac:dyDescent="0.35">
      <c r="A25" s="162"/>
      <c r="B25" s="1"/>
      <c r="C25" s="4"/>
      <c r="D25" s="4"/>
      <c r="E25" s="86"/>
      <c r="F25" s="1"/>
      <c r="G25" s="89"/>
      <c r="H25" s="89"/>
      <c r="I25" s="90"/>
      <c r="J25" s="155"/>
      <c r="K25" s="158"/>
    </row>
    <row r="26" spans="1:14" ht="15" hidden="1" thickBot="1" x14ac:dyDescent="0.4">
      <c r="A26" s="162"/>
      <c r="B26" s="1"/>
      <c r="C26" s="60" t="s">
        <v>76</v>
      </c>
      <c r="D26" s="61" t="str">
        <f>IFERROR(IF(ISNUMBER(G14),G14*D23*0.9,IF(D14="Please enter value in cell to the right:",IF(AND(D14="Please enter value in cell to the right:",ISNUMBER(E14)),D23*E14, VLOOKUP((LEFT(D13,(LEN(D13)-13))&amp;" default"),Lookups!$C$8:$E$46,2,FALSE)*D23),IF(OR(D13="Package Treatment Plant default",D13="Septic Tank default"),D14*D23,IF(D14=5,D14*D23,D14*D23*0.9)))),"")</f>
        <v/>
      </c>
      <c r="E26" s="29" t="s">
        <v>77</v>
      </c>
      <c r="F26" s="1"/>
      <c r="G26" s="91"/>
      <c r="H26" s="89"/>
      <c r="I26" s="89"/>
      <c r="J26" s="156"/>
      <c r="K26" s="158"/>
    </row>
    <row r="27" spans="1:14" ht="15" hidden="1" thickBot="1" x14ac:dyDescent="0.4">
      <c r="A27" s="162"/>
      <c r="B27" s="1"/>
      <c r="C27" s="28" t="s">
        <v>78</v>
      </c>
      <c r="D27" s="59" t="str">
        <f>IFERROR($D$26/1000000,"")</f>
        <v/>
      </c>
      <c r="E27" s="29" t="s">
        <v>79</v>
      </c>
      <c r="F27" s="1"/>
      <c r="G27" s="91"/>
      <c r="H27" s="95"/>
      <c r="I27" s="92"/>
      <c r="J27" s="156"/>
      <c r="K27" s="158"/>
    </row>
    <row r="28" spans="1:14" ht="15" hidden="1" thickBot="1" x14ac:dyDescent="0.4">
      <c r="A28" s="162"/>
      <c r="B28" s="1"/>
      <c r="C28" s="62" t="s">
        <v>80</v>
      </c>
      <c r="D28" s="64" t="str">
        <f>IFERROR($D$27*365.25,"")</f>
        <v/>
      </c>
      <c r="E28" s="29" t="s">
        <v>81</v>
      </c>
      <c r="F28" s="1"/>
      <c r="G28" s="91"/>
      <c r="H28" s="96"/>
      <c r="I28" s="92"/>
      <c r="J28" s="156"/>
      <c r="K28" s="158"/>
    </row>
    <row r="29" spans="1:14" x14ac:dyDescent="0.35">
      <c r="A29" s="162"/>
      <c r="B29" s="1"/>
      <c r="C29" s="63" t="s">
        <v>135</v>
      </c>
      <c r="D29" s="65" t="str">
        <f>D28</f>
        <v/>
      </c>
      <c r="E29" s="87" t="s">
        <v>81</v>
      </c>
      <c r="F29" s="1"/>
      <c r="G29" s="93"/>
      <c r="H29" s="97"/>
      <c r="I29" s="94"/>
      <c r="J29" s="156"/>
      <c r="K29" s="158"/>
    </row>
    <row r="30" spans="1:14" hidden="1" x14ac:dyDescent="0.35">
      <c r="A30" s="162"/>
      <c r="B30" s="1"/>
      <c r="C30" s="1"/>
      <c r="D30" s="1"/>
      <c r="E30" s="86"/>
      <c r="F30" s="1"/>
      <c r="G30" s="89"/>
      <c r="H30" s="89"/>
      <c r="I30" s="90"/>
      <c r="J30" s="156"/>
      <c r="K30" s="158"/>
    </row>
    <row r="31" spans="1:14" hidden="1" x14ac:dyDescent="0.35">
      <c r="A31" s="162"/>
      <c r="B31" s="1"/>
      <c r="C31" s="1"/>
      <c r="D31" s="1"/>
      <c r="E31" s="86"/>
      <c r="F31" s="1"/>
      <c r="G31" s="89"/>
      <c r="H31" s="89"/>
      <c r="I31" s="90"/>
      <c r="J31" s="156"/>
      <c r="K31" s="158"/>
    </row>
    <row r="32" spans="1:14" ht="15" hidden="1" thickBot="1" x14ac:dyDescent="0.4">
      <c r="A32" s="162"/>
      <c r="B32" s="1"/>
      <c r="C32" s="28" t="s">
        <v>101</v>
      </c>
      <c r="D32" s="59" t="str">
        <f>IFERROR(IF(ISNUMBER(G15),G15*D23*0.9,IF(D15="Please enter value in cell to the right:",IF(AND(D15="Please enter value in cell to the right:",ISNUMBER(E15)),D23*E15, VLOOKUP((LEFT(D13,(LEN(D13)-13))&amp;" default"),Lookups!$C$8:$E$46,3,FALSE)*D23),IF(OR(D13="Package Treatment Plant default",D13="Septic Tank default"),D15*D23,IF(D15=27,D15*D23,D15*D23*0.9)))),"")</f>
        <v/>
      </c>
      <c r="E32" s="29" t="s">
        <v>102</v>
      </c>
      <c r="F32" s="1"/>
      <c r="G32" s="91"/>
      <c r="H32" s="95"/>
      <c r="I32" s="92"/>
      <c r="J32" s="156"/>
      <c r="K32" s="158"/>
    </row>
    <row r="33" spans="1:11" ht="15" hidden="1" thickBot="1" x14ac:dyDescent="0.4">
      <c r="A33" s="162"/>
      <c r="B33" s="1"/>
      <c r="C33" s="66" t="s">
        <v>105</v>
      </c>
      <c r="D33" s="67" t="str">
        <f>IFERROR($D$32/1000000,"")</f>
        <v/>
      </c>
      <c r="E33" s="29" t="s">
        <v>103</v>
      </c>
      <c r="F33" s="1"/>
      <c r="G33" s="91"/>
      <c r="H33" s="95"/>
      <c r="I33" s="92"/>
      <c r="J33" s="156"/>
      <c r="K33" s="158"/>
    </row>
    <row r="34" spans="1:11" ht="15" hidden="1" thickBot="1" x14ac:dyDescent="0.4">
      <c r="A34" s="162"/>
      <c r="B34" s="1"/>
      <c r="C34" s="66" t="s">
        <v>106</v>
      </c>
      <c r="D34" s="68" t="str">
        <f>IFERROR($D$33*365.25,"")</f>
        <v/>
      </c>
      <c r="E34" s="29" t="s">
        <v>104</v>
      </c>
      <c r="F34" s="1"/>
      <c r="G34" s="91"/>
      <c r="H34" s="96"/>
      <c r="I34" s="92"/>
      <c r="J34" s="156"/>
      <c r="K34" s="158"/>
    </row>
    <row r="35" spans="1:11" hidden="1" x14ac:dyDescent="0.35">
      <c r="A35" s="162"/>
      <c r="B35" s="1"/>
      <c r="C35" s="20" t="s">
        <v>136</v>
      </c>
      <c r="D35" s="21" t="str">
        <f>D34</f>
        <v/>
      </c>
      <c r="E35" s="87" t="s">
        <v>104</v>
      </c>
      <c r="F35" s="1"/>
      <c r="G35" s="20" t="str">
        <f>IFERROR(IF(AND($D$9&lt;DATE(2025,1,1),OR((VLOOKUP($D$13,Lookups!$C$8:$G$46,2,FALSE))&gt;(VLOOKUP($D$13,Lookups!$C$8:$G$46,4,FALSE)),(VLOOKUP($D$13,Lookups!$C$8:$G$46,3,FALSE))&gt;(VLOOKUP($D$13,Lookups!$C$8:$G$46,5,FALSE)))),"Annual wastewater TN load:",""),"")</f>
        <v/>
      </c>
      <c r="H35" s="22" t="str">
        <f>IFERROR(IF(AND($D$9&lt;DATE(2025,1,1),OR((VLOOKUP($D$13,Lookups!$C$8:$G$46,2,FALSE))&gt;(VLOOKUP($D$13,Lookups!$C$8:$G$46,4,FALSE)),(VLOOKUP($D$13,Lookups!$C$8:$G$46,3,FALSE))&gt;(VLOOKUP($D$13,Lookups!$C$8:$G$46,5,FALSE)))),(D15*D$23*0.9)/1000000*365.25,""),"")</f>
        <v/>
      </c>
      <c r="I35" s="29" t="str">
        <f>IFERROR(IF(AND($D$9&lt;DATE(2025,1,1),OR((VLOOKUP($D$13,Lookups!$C$8:$G$46,2,FALSE))&gt;(VLOOKUP($D$13,Lookups!$C$8:$G$46,4,FALSE)),(VLOOKUP($D$13,Lookups!$C$8:$G$46,3,FALSE))&gt;(VLOOKUP($D$13,Lookups!$C$8:$G$46,5,FALSE)))),"kg TN/yr",""),"")</f>
        <v/>
      </c>
      <c r="J35" s="156"/>
      <c r="K35" s="158"/>
    </row>
    <row r="36" spans="1:11" ht="15" thickBot="1" x14ac:dyDescent="0.4">
      <c r="A36" s="162"/>
      <c r="B36" s="148"/>
      <c r="C36" s="134"/>
      <c r="D36" s="134"/>
      <c r="E36" s="134"/>
      <c r="F36" s="134"/>
      <c r="G36" s="134"/>
      <c r="H36" s="134"/>
      <c r="I36" s="134"/>
      <c r="J36" s="135"/>
    </row>
    <row r="37" spans="1:11" ht="15" thickTop="1" x14ac:dyDescent="0.35"/>
  </sheetData>
  <sheetProtection algorithmName="SHA-512" hashValue="tbKij/wPzgFBrJx2tXUPFIRTUyY+7C9f+9J1pfVayL8Bg2hgvHqm+WJzSqfrqrbAmq2xpujJe6lRjv3vY4lOFA==" saltValue="xyn6xWU1H7nz48cPeNAGFQ==" spinCount="100000" sheet="1" selectLockedCells="1"/>
  <protectedRanges>
    <protectedRange algorithmName="SHA-512" hashValue="9eFLYwbQxhpezS4HULhG7iBaGmH5LoseTU2XnhelcWF+/l82pYUC3srt3byn/vuneXy5XFyZVPQbagh6SLqRzQ==" saltValue="CEix3VmL8kRrd4op8qAhjg==" spinCount="100000" sqref="E14:E15 D9:D13" name="Range1"/>
  </protectedRanges>
  <mergeCells count="6">
    <mergeCell ref="B3:J5"/>
    <mergeCell ref="C20:D20"/>
    <mergeCell ref="G20:H20"/>
    <mergeCell ref="G10:G13"/>
    <mergeCell ref="C17:D17"/>
    <mergeCell ref="C7:D7"/>
  </mergeCells>
  <conditionalFormatting sqref="E14:E15">
    <cfRule type="expression" dxfId="9" priority="10">
      <formula>OR(ISNUMBER($D$15),ISBLANK($D$13))</formula>
    </cfRule>
    <cfRule type="expression" dxfId="8" priority="11">
      <formula>($D$15="Please enter value in cell to the right:")</formula>
    </cfRule>
  </conditionalFormatting>
  <conditionalFormatting sqref="G14">
    <cfRule type="expression" dxfId="7" priority="5">
      <formula>ISNUMBER($G$14)</formula>
    </cfRule>
  </conditionalFormatting>
  <conditionalFormatting sqref="G10 H9:H15">
    <cfRule type="expression" dxfId="6" priority="12">
      <formula>_xlfn.ISFORMULA($G$10)</formula>
    </cfRule>
    <cfRule type="expression" dxfId="5" priority="13">
      <formula>ISTEXT($G$10)</formula>
    </cfRule>
  </conditionalFormatting>
  <conditionalFormatting sqref="G15">
    <cfRule type="expression" dxfId="4" priority="4">
      <formula>ISNUMBER($G$15)</formula>
    </cfRule>
  </conditionalFormatting>
  <conditionalFormatting sqref="H22">
    <cfRule type="expression" dxfId="3" priority="2">
      <formula>ISNUMBER($H$22)</formula>
    </cfRule>
  </conditionalFormatting>
  <conditionalFormatting sqref="H35">
    <cfRule type="expression" dxfId="2" priority="1">
      <formula>ISNUMBER(H35)</formula>
    </cfRule>
  </conditionalFormatting>
  <dataValidations count="4">
    <dataValidation type="date" operator="greaterThan" allowBlank="1" showInputMessage="1" showErrorMessage="1" errorTitle="Date Error" error="Please enter a date after 01/01/2022 date in correct dd/mm/yyyy format." prompt="Enter date as dd/mm/yyyy format. " sqref="D9">
      <formula1>44562</formula1>
    </dataValidation>
    <dataValidation type="decimal" operator="greaterThan" showInputMessage="1" showErrorMessage="1" prompt="The average occupancy rate (people per dwelling/unit) should not be edited unless there is sufficient evidence." sqref="D10">
      <formula1>0</formula1>
    </dataValidation>
    <dataValidation type="whole" operator="greaterThan" showInputMessage="1" showErrorMessage="1" errorTitle="Water usage:" error="Please enter a whole number in litres/person/day" prompt="Keep as 120 unless other efficiency measures are used. " sqref="D11">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dwellings/units that will be within the development site as of the project completion date." sqref="D12">
      <formula1>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'C:\Users\DS56\OneDrive - Ricardo Plc\NE NN\[Copy of Herefordshire Council Phosphate Budget Calculator_Final.xlsx]Stage 2 and 3 lookups'!#REF!</xm:f>
          </x14:formula1>
          <xm:sqref>J8:J10</xm:sqref>
        </x14:dataValidation>
        <x14:dataValidation type="list" allowBlank="1" showInputMessage="1" showErrorMessage="1">
          <x14:formula1>
            <xm:f>Lookups!$C$8:$C$48</xm:f>
          </x14:formula1>
          <xm:sqref>D13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4"/>
  <sheetViews>
    <sheetView showGridLines="0" showRowColHeaders="0" topLeftCell="A3" zoomScaleNormal="100" workbookViewId="0">
      <selection activeCell="C15" sqref="C15"/>
    </sheetView>
  </sheetViews>
  <sheetFormatPr defaultColWidth="9.26953125" defaultRowHeight="14.5" x14ac:dyDescent="0.35"/>
  <cols>
    <col min="1" max="1" width="9.26953125" style="136"/>
    <col min="2" max="2" width="4.7265625" style="136" customWidth="1"/>
    <col min="3" max="3" width="32.26953125" style="136" customWidth="1"/>
    <col min="4" max="4" width="8.453125" style="136" bestFit="1" customWidth="1"/>
    <col min="5" max="5" width="21.26953125" style="136" customWidth="1"/>
    <col min="6" max="6" width="17.7265625" style="136" hidden="1" customWidth="1"/>
    <col min="7" max="7" width="5.453125" style="136" customWidth="1"/>
    <col min="8" max="8" width="8.26953125" style="136" customWidth="1"/>
    <col min="9" max="9" width="9.26953125" style="136" customWidth="1"/>
    <col min="10" max="10" width="26.26953125" style="136" customWidth="1"/>
    <col min="11" max="16384" width="9.26953125" style="136"/>
  </cols>
  <sheetData>
    <row r="3" spans="1:10" x14ac:dyDescent="0.35">
      <c r="A3" s="137"/>
      <c r="B3" s="273" t="s">
        <v>199</v>
      </c>
      <c r="C3" s="282"/>
      <c r="D3" s="282"/>
      <c r="E3" s="282"/>
      <c r="F3" s="282"/>
      <c r="G3" s="275"/>
    </row>
    <row r="4" spans="1:10" x14ac:dyDescent="0.35">
      <c r="A4" s="137"/>
      <c r="B4" s="273"/>
      <c r="C4" s="282"/>
      <c r="D4" s="282"/>
      <c r="E4" s="282"/>
      <c r="F4" s="282"/>
      <c r="G4" s="275"/>
    </row>
    <row r="5" spans="1:10" x14ac:dyDescent="0.35">
      <c r="A5" s="137"/>
      <c r="B5" s="273"/>
      <c r="C5" s="282"/>
      <c r="D5" s="282"/>
      <c r="E5" s="282"/>
      <c r="F5" s="282"/>
      <c r="G5" s="275"/>
    </row>
    <row r="6" spans="1:10" ht="16.5" x14ac:dyDescent="0.35">
      <c r="A6" s="137"/>
      <c r="B6" s="4"/>
      <c r="C6" s="1"/>
      <c r="D6" s="1"/>
      <c r="E6" s="1"/>
      <c r="F6" s="1"/>
      <c r="G6" s="146"/>
    </row>
    <row r="7" spans="1:10" ht="18" customHeight="1" x14ac:dyDescent="0.35">
      <c r="A7" s="137"/>
      <c r="B7" s="4"/>
      <c r="C7" s="283" t="s">
        <v>195</v>
      </c>
      <c r="D7" s="283"/>
      <c r="E7" s="283"/>
      <c r="F7" s="283"/>
      <c r="G7" s="145"/>
    </row>
    <row r="8" spans="1:10" ht="12" customHeight="1" x14ac:dyDescent="0.35">
      <c r="A8" s="137"/>
      <c r="B8" s="4"/>
      <c r="C8" s="1"/>
      <c r="D8" s="1"/>
      <c r="E8" s="1"/>
      <c r="F8" s="1"/>
      <c r="G8" s="145"/>
    </row>
    <row r="9" spans="1:10" ht="17" thickBot="1" x14ac:dyDescent="0.4">
      <c r="A9" s="137"/>
      <c r="B9" s="4"/>
      <c r="C9" s="280" t="s">
        <v>70</v>
      </c>
      <c r="D9" s="280"/>
      <c r="E9" s="236"/>
      <c r="F9" s="1"/>
      <c r="G9" s="145"/>
    </row>
    <row r="10" spans="1:10" ht="17" thickBot="1" x14ac:dyDescent="0.4">
      <c r="A10" s="137"/>
      <c r="B10" s="4"/>
      <c r="C10" s="281" t="s">
        <v>82</v>
      </c>
      <c r="D10" s="281"/>
      <c r="E10" s="106"/>
      <c r="F10" s="1"/>
      <c r="G10" s="147"/>
    </row>
    <row r="11" spans="1:10" ht="17" thickBot="1" x14ac:dyDescent="0.4">
      <c r="A11" s="137"/>
      <c r="B11" s="4"/>
      <c r="C11" s="281" t="s">
        <v>211</v>
      </c>
      <c r="D11" s="281"/>
      <c r="E11" s="107"/>
      <c r="F11" s="1"/>
      <c r="G11" s="147"/>
    </row>
    <row r="12" spans="1:10" x14ac:dyDescent="0.35">
      <c r="A12" s="137"/>
      <c r="B12" s="1"/>
      <c r="C12" s="279" t="s">
        <v>212</v>
      </c>
      <c r="D12" s="279"/>
      <c r="E12" s="108" t="s">
        <v>94</v>
      </c>
      <c r="F12" s="1"/>
      <c r="G12" s="121"/>
    </row>
    <row r="13" spans="1:10" x14ac:dyDescent="0.35">
      <c r="A13" s="137"/>
      <c r="B13" s="1"/>
      <c r="C13" s="1"/>
      <c r="D13" s="1"/>
      <c r="E13" s="1"/>
      <c r="F13" s="1"/>
      <c r="G13" s="121"/>
    </row>
    <row r="14" spans="1:10" ht="63" customHeight="1" thickBot="1" x14ac:dyDescent="0.4">
      <c r="A14" s="137"/>
      <c r="B14" s="1"/>
      <c r="C14" s="75" t="s">
        <v>144</v>
      </c>
      <c r="D14" s="232" t="s">
        <v>97</v>
      </c>
      <c r="E14" s="192" t="s">
        <v>197</v>
      </c>
      <c r="F14" s="76" t="s">
        <v>198</v>
      </c>
      <c r="G14" s="121"/>
    </row>
    <row r="15" spans="1:10" x14ac:dyDescent="0.35">
      <c r="A15" s="137"/>
      <c r="B15" s="1"/>
      <c r="C15" s="234"/>
      <c r="D15" s="184"/>
      <c r="E15" s="231" t="str">
        <f>IF(OR(ISBLANK($C15),ISBLANK($D15),ISBLANK($E$10),ISBLANK($E$11)),"",IFERROR($D15*VLOOKUP((IF(OR($C15="Residential urban land",$C15="Commercial/industrial urban land",$C15="Open urban land",$C15="Greenspace",$C15="Community food growing",$C15="Woodland",$C15="Shrub", $C15="Water"), "|||"&amp;$C15, (VLOOKUP('Stage 2'!$E$9,Lookups!$C$369:$D$370,2,FALSE)&amp;"|"&amp;$C15&amp;"|"&amp;VLOOKUP('Stage 2'!$E$12,Lookups!$C$384:$D$385,2,FALSE)&amp;"|"&amp;VLOOKUP('Stage 2'!$E$11,Lookups!$C$343:$E$365,3,FALSE)&amp;"|"&amp;VLOOKUP($E$10,Lookups!$C$375:$D$380,2,FALSE)))),Lookups!$H$52:$J$339,2,FALSE),
IFERROR(IFERROR($D15*VLOOKUP($C15&amp;"|"&amp;VLOOKUP('Stage 2'!$E$12,Lookups!$C$384:$D$385,2,FALSE)&amp;"|"&amp;VLOOKUP('Stage 2'!$E$11,Lookups!$C$343:$E$365,3,FALSE)&amp;"|"&amp;VLOOKUP($E$10,Lookups!$C$375:$D$380,2,FALSE),Lookups!$H$52:$J$339,2,FALSE),IFERROR($D15*VLOOKUP($C15&amp;"|"&amp;"TRUE"&amp;"|"&amp;VLOOKUP('Stage 2'!$E$11,Lookups!$C$343:$E$365,3,FALSE)&amp;"|"&amp;VLOOKUP($E$10,Lookups!$C$375:$D$380,2,FALSE),Lookups!$H$52:$J$339,2,FALSE),$D15*VLOOKUP($C15&amp;"|"&amp;VLOOKUP('Stage 2'!$E$12,Lookups!$C$384:$D$385,2,FALSE)&amp;"|"&amp;VLOOKUP('Stage 2'!$E$11,Lookups!$C$343:$E$365,3,FALSE)&amp;"|"&amp;"DrainedArGr",Lookups!$H$52:$J$339,2,FALSE))),IFERROR($D15*VLOOKUP($C15&amp;"|"&amp;VLOOKUP('Stage 2'!$E$11,Lookups!$C$343:$E$365,3,FALSE),Lookups!$K$52:$M$331,2,FALSE),$D15*VLOOKUP($C15,Lookups!$D$52:$O$331,11,FALSE)))))</f>
        <v/>
      </c>
      <c r="F15" s="183" t="str">
        <f>IF(OR(ISBLANK($C15),ISBLANK($D15),ISBLANK($E$10),ISBLANK($E$11)),"",IFERROR($D15*VLOOKUP((IF(OR($C15="Residential urban land",$C15="Commercial/industrial urban land",$C15="Open urban land",$C15="Greenspace",$C15="Community food growing",$C15="Woodland",$C15="Shrub", $C15="Water"), "|||"&amp;$C15, (VLOOKUP('Stage 2'!$E$9,Lookups!$C$369:$D$369,2,FALSE)&amp;"|"&amp;$C15&amp;"|"&amp;VLOOKUP('Stage 2'!$E$12,Lookups!$C$384:$D$385,2,FALSE)&amp;"|"&amp;VLOOKUP('Stage 2'!$E$11,Lookups!$C$343:$E$365,3,FALSE)&amp;"|"&amp;VLOOKUP($E$10,Lookups!$C$375:$D$380,2,FALSE)))),Lookups!$H$52:$J$339,3,FALSE),
IFERROR(IFERROR($D15*VLOOKUP($C15&amp;"|"&amp;VLOOKUP('Stage 2'!$E$12,Lookups!$C$384:$D$385,2,FALSE)&amp;"|"&amp;VLOOKUP('Stage 2'!$E$11,Lookups!$C$343:$E$365,3,FALSE)&amp;"|"&amp;VLOOKUP($E$10,Lookups!$C$375:$D$380,2,FALSE),Lookups!$H$52:$J$339,3,FALSE),IFERROR($D15*VLOOKUP($C15&amp;"|"&amp;"TRUE"&amp;"|"&amp;VLOOKUP('Stage 2'!$E$11,Lookups!$C$343:$E$365,3,FALSE)&amp;"|"&amp;VLOOKUP($E$10,Lookups!$C$375:$D$380,2,FALSE),Lookups!$H$52:$J$339,3,FALSE),$D15*VLOOKUP($C15&amp;"|"&amp;VLOOKUP('Stage 2'!$E$12,Lookups!$C$384:$D$385,2,FALSE)&amp;"|"&amp;VLOOKUP('Stage 2'!$E$11,Lookups!$C$343:$E$365,3,FALSE)&amp;"|"&amp;"DrainedArGr",Lookups!$H$52:$J$339,3,FALSE))),IFERROR($D15*VLOOKUP($C15&amp;"|"&amp;VLOOKUP('Stage 2'!$E$11,Lookups!$C$343:$E$365,3,FALSE),Lookups!$K$52:$M$331,3,FALSE),$D15*VLOOKUP($C15,Lookups!$D$52:$O$331,12,FALSE)))))</f>
        <v/>
      </c>
      <c r="G15" s="163"/>
      <c r="H15" s="164"/>
      <c r="I15" s="164"/>
      <c r="J15" s="164"/>
    </row>
    <row r="16" spans="1:10" x14ac:dyDescent="0.35">
      <c r="A16" s="137"/>
      <c r="B16" s="1"/>
      <c r="C16" s="109"/>
      <c r="D16" s="233"/>
      <c r="E16" s="183" t="str">
        <f>IF(OR(ISBLANK($C16),ISBLANK($D16),ISBLANK($E$10),ISBLANK($E$11)),"",IFERROR($D16*VLOOKUP((IF(OR($C16="Residential urban land",$C16="Commercial/industrial urban land",$C16="Open urban land",$C16="Greenspace",$C16="Community food growing",$C16="Woodland",$C16="Shrub", $C16="Water"), "|||"&amp;$C16, (VLOOKUP('Stage 2'!$E$9,Lookups!$C$369:$D$370,2,FALSE)&amp;"|"&amp;$C16&amp;"|"&amp;VLOOKUP('Stage 2'!$E$12,Lookups!$C$384:$D$385,2,FALSE)&amp;"|"&amp;VLOOKUP('Stage 2'!$E$11,Lookups!$C$343:$E$365,3,FALSE)&amp;"|"&amp;VLOOKUP($E$10,Lookups!$C$375:$D$380,2,FALSE)))),Lookups!$H$52:$J$339,2,FALSE),
IFERROR(IFERROR($D16*VLOOKUP($C16&amp;"|"&amp;VLOOKUP('Stage 2'!$E$12,Lookups!$C$384:$D$385,2,FALSE)&amp;"|"&amp;VLOOKUP('Stage 2'!$E$11,Lookups!$C$343:$E$365,3,FALSE)&amp;"|"&amp;VLOOKUP($E$10,Lookups!$C$375:$D$380,2,FALSE),Lookups!$H$52:$J$339,2,FALSE),IFERROR($D16*VLOOKUP($C16&amp;"|"&amp;"TRUE"&amp;"|"&amp;VLOOKUP('Stage 2'!$E$11,Lookups!$C$343:$E$365,3,FALSE)&amp;"|"&amp;VLOOKUP($E$10,Lookups!$C$375:$D$380,2,FALSE),Lookups!$H$52:$J$339,2,FALSE),$D16*VLOOKUP($C16&amp;"|"&amp;VLOOKUP('Stage 2'!$E$12,Lookups!$C$384:$D$385,2,FALSE)&amp;"|"&amp;VLOOKUP('Stage 2'!$E$11,Lookups!$C$343:$E$365,3,FALSE)&amp;"|"&amp;"DrainedArGr",Lookups!$H$52:$J$339,2,FALSE))),IFERROR($D16*VLOOKUP($C16&amp;"|"&amp;VLOOKUP('Stage 2'!$E$11,Lookups!$C$343:$E$365,3,FALSE),Lookups!$K$52:$M$331,2,FALSE),$D16*VLOOKUP($C16,Lookups!$D$52:$O$331,11,FALSE)))))</f>
        <v/>
      </c>
      <c r="F16" s="183" t="str">
        <f>IF(OR(ISBLANK($C16),ISBLANK($D16),ISBLANK($E$10),ISBLANK($E$11)),"",IFERROR($D16*VLOOKUP((IF(OR($C16="Residential urban land",$C16="Commercial/industrial urban land",$C16="Open urban land",$C16="Greenspace",$C16="Community food growing",$C16="Woodland",$C16="Shrub", $C16="Water"), "|||"&amp;$C16, (VLOOKUP('Stage 2'!$E$9,Lookups!$C$369:$D$369,2,FALSE)&amp;"|"&amp;$C16&amp;"|"&amp;VLOOKUP('Stage 2'!$E$12,Lookups!$C$384:$D$385,2,FALSE)&amp;"|"&amp;VLOOKUP('Stage 2'!$E$11,Lookups!$C$343:$E$365,3,FALSE)&amp;"|"&amp;VLOOKUP($E$10,Lookups!$C$375:$D$380,2,FALSE)))),Lookups!$H$52:$J$339,3,FALSE),
IFERROR(IFERROR($D16*VLOOKUP($C16&amp;"|"&amp;VLOOKUP('Stage 2'!$E$12,Lookups!$C$384:$D$385,2,FALSE)&amp;"|"&amp;VLOOKUP('Stage 2'!$E$11,Lookups!$C$343:$E$365,3,FALSE)&amp;"|"&amp;VLOOKUP($E$10,Lookups!$C$375:$D$380,2,FALSE),Lookups!$H$52:$J$339,3,FALSE),IFERROR($D16*VLOOKUP($C16&amp;"|"&amp;"TRUE"&amp;"|"&amp;VLOOKUP('Stage 2'!$E$11,Lookups!$C$343:$E$365,3,FALSE)&amp;"|"&amp;VLOOKUP($E$10,Lookups!$C$375:$D$380,2,FALSE),Lookups!$H$52:$J$339,3,FALSE),$D16*VLOOKUP($C16&amp;"|"&amp;VLOOKUP('Stage 2'!$E$12,Lookups!$C$384:$D$385,2,FALSE)&amp;"|"&amp;VLOOKUP('Stage 2'!$E$11,Lookups!$C$343:$E$365,3,FALSE)&amp;"|"&amp;"DrainedArGr",Lookups!$H$52:$J$339,3,FALSE))),IFERROR($D16*VLOOKUP($C16&amp;"|"&amp;VLOOKUP('Stage 2'!$E$11,Lookups!$C$343:$E$365,3,FALSE),Lookups!$K$52:$M$331,3,FALSE),$D16*VLOOKUP($C16,Lookups!$D$52:$O$331,12,FALSE)))))</f>
        <v/>
      </c>
      <c r="G16" s="163"/>
      <c r="H16" s="164"/>
      <c r="I16" s="164"/>
      <c r="J16" s="164"/>
    </row>
    <row r="17" spans="1:10" x14ac:dyDescent="0.35">
      <c r="A17" s="137"/>
      <c r="B17" s="1"/>
      <c r="C17" s="109"/>
      <c r="D17" s="233"/>
      <c r="E17" s="183" t="str">
        <f>IF(OR(ISBLANK($C17),ISBLANK($D17),ISBLANK($E$10),ISBLANK($E$11)),"",IFERROR($D17*VLOOKUP((IF(OR($C17="Residential urban land",$C17="Commercial/industrial urban land",$C17="Open urban land",$C17="Greenspace",$C17="Community food growing",$C17="Woodland",$C17="Shrub", $C17="Water"), "|||"&amp;$C17, (VLOOKUP('Stage 2'!$E$9,Lookups!$C$369:$D$370,2,FALSE)&amp;"|"&amp;$C17&amp;"|"&amp;VLOOKUP('Stage 2'!$E$12,Lookups!$C$384:$D$385,2,FALSE)&amp;"|"&amp;VLOOKUP('Stage 2'!$E$11,Lookups!$C$343:$E$365,3,FALSE)&amp;"|"&amp;VLOOKUP($E$10,Lookups!$C$375:$D$380,2,FALSE)))),Lookups!$H$52:$J$339,2,FALSE),
IFERROR(IFERROR($D17*VLOOKUP($C17&amp;"|"&amp;VLOOKUP('Stage 2'!$E$12,Lookups!$C$384:$D$385,2,FALSE)&amp;"|"&amp;VLOOKUP('Stage 2'!$E$11,Lookups!$C$343:$E$365,3,FALSE)&amp;"|"&amp;VLOOKUP($E$10,Lookups!$C$375:$D$380,2,FALSE),Lookups!$H$52:$J$339,2,FALSE),IFERROR($D17*VLOOKUP($C17&amp;"|"&amp;"TRUE"&amp;"|"&amp;VLOOKUP('Stage 2'!$E$11,Lookups!$C$343:$E$365,3,FALSE)&amp;"|"&amp;VLOOKUP($E$10,Lookups!$C$375:$D$380,2,FALSE),Lookups!$H$52:$J$339,2,FALSE),$D17*VLOOKUP($C17&amp;"|"&amp;VLOOKUP('Stage 2'!$E$12,Lookups!$C$384:$D$385,2,FALSE)&amp;"|"&amp;VLOOKUP('Stage 2'!$E$11,Lookups!$C$343:$E$365,3,FALSE)&amp;"|"&amp;"DrainedArGr",Lookups!$H$52:$J$339,2,FALSE))),IFERROR($D17*VLOOKUP($C17&amp;"|"&amp;VLOOKUP('Stage 2'!$E$11,Lookups!$C$343:$E$365,3,FALSE),Lookups!$K$52:$M$331,2,FALSE),$D17*VLOOKUP($C17,Lookups!$D$52:$O$331,11,FALSE)))))</f>
        <v/>
      </c>
      <c r="F17" s="183" t="str">
        <f>IF(OR(ISBLANK($C17),ISBLANK($D17),ISBLANK($E$10),ISBLANK($E$11)),"",IFERROR($D17*VLOOKUP((IF(OR($C17="Residential urban land",$C17="Commercial/industrial urban land",$C17="Open urban land",$C17="Greenspace",$C17="Community food growing",$C17="Woodland",$C17="Shrub", $C17="Water"), "|||"&amp;$C17, (VLOOKUP('Stage 2'!$E$9,Lookups!$C$369:$D$369,2,FALSE)&amp;"|"&amp;$C17&amp;"|"&amp;VLOOKUP('Stage 2'!$E$12,Lookups!$C$384:$D$385,2,FALSE)&amp;"|"&amp;VLOOKUP('Stage 2'!$E$11,Lookups!$C$343:$E$365,3,FALSE)&amp;"|"&amp;VLOOKUP($E$10,Lookups!$C$375:$D$380,2,FALSE)))),Lookups!$H$52:$J$339,3,FALSE),
IFERROR(IFERROR($D17*VLOOKUP($C17&amp;"|"&amp;VLOOKUP('Stage 2'!$E$12,Lookups!$C$384:$D$385,2,FALSE)&amp;"|"&amp;VLOOKUP('Stage 2'!$E$11,Lookups!$C$343:$E$365,3,FALSE)&amp;"|"&amp;VLOOKUP($E$10,Lookups!$C$375:$D$380,2,FALSE),Lookups!$H$52:$J$339,3,FALSE),IFERROR($D17*VLOOKUP($C17&amp;"|"&amp;"TRUE"&amp;"|"&amp;VLOOKUP('Stage 2'!$E$11,Lookups!$C$343:$E$365,3,FALSE)&amp;"|"&amp;VLOOKUP($E$10,Lookups!$C$375:$D$380,2,FALSE),Lookups!$H$52:$J$339,3,FALSE),$D17*VLOOKUP($C17&amp;"|"&amp;VLOOKUP('Stage 2'!$E$12,Lookups!$C$384:$D$385,2,FALSE)&amp;"|"&amp;VLOOKUP('Stage 2'!$E$11,Lookups!$C$343:$E$365,3,FALSE)&amp;"|"&amp;"DrainedArGr",Lookups!$H$52:$J$339,3,FALSE))),IFERROR($D17*VLOOKUP($C17&amp;"|"&amp;VLOOKUP('Stage 2'!$E$11,Lookups!$C$343:$E$365,3,FALSE),Lookups!$K$52:$M$331,3,FALSE),$D17*VLOOKUP($C17,Lookups!$D$52:$O$331,12,FALSE)))))</f>
        <v/>
      </c>
      <c r="G17" s="163"/>
      <c r="H17" s="164"/>
      <c r="I17" s="164"/>
      <c r="J17" s="164"/>
    </row>
    <row r="18" spans="1:10" x14ac:dyDescent="0.35">
      <c r="A18" s="137"/>
      <c r="B18" s="1"/>
      <c r="C18" s="109"/>
      <c r="D18" s="233"/>
      <c r="E18" s="183" t="str">
        <f>IF(OR(ISBLANK($C18),ISBLANK($D18),ISBLANK($E$10),ISBLANK($E$11)),"",IFERROR($D18*VLOOKUP((IF(OR($C18="Residential urban land",$C18="Commercial/industrial urban land",$C18="Open urban land",$C18="Greenspace",$C18="Community food growing",$C18="Woodland",$C18="Shrub", $C18="Water"), "|||"&amp;$C18, (VLOOKUP('Stage 2'!$E$9,Lookups!$C$369:$D$370,2,FALSE)&amp;"|"&amp;$C18&amp;"|"&amp;VLOOKUP('Stage 2'!$E$12,Lookups!$C$384:$D$385,2,FALSE)&amp;"|"&amp;VLOOKUP('Stage 2'!$E$11,Lookups!$C$343:$E$365,3,FALSE)&amp;"|"&amp;VLOOKUP($E$10,Lookups!$C$375:$D$380,2,FALSE)))),Lookups!$H$52:$J$339,2,FALSE),
IFERROR(IFERROR($D18*VLOOKUP($C18&amp;"|"&amp;VLOOKUP('Stage 2'!$E$12,Lookups!$C$384:$D$385,2,FALSE)&amp;"|"&amp;VLOOKUP('Stage 2'!$E$11,Lookups!$C$343:$E$365,3,FALSE)&amp;"|"&amp;VLOOKUP($E$10,Lookups!$C$375:$D$380,2,FALSE),Lookups!$H$52:$J$339,2,FALSE),IFERROR($D18*VLOOKUP($C18&amp;"|"&amp;"TRUE"&amp;"|"&amp;VLOOKUP('Stage 2'!$E$11,Lookups!$C$343:$E$365,3,FALSE)&amp;"|"&amp;VLOOKUP($E$10,Lookups!$C$375:$D$380,2,FALSE),Lookups!$H$52:$J$339,2,FALSE),$D18*VLOOKUP($C18&amp;"|"&amp;VLOOKUP('Stage 2'!$E$12,Lookups!$C$384:$D$385,2,FALSE)&amp;"|"&amp;VLOOKUP('Stage 2'!$E$11,Lookups!$C$343:$E$365,3,FALSE)&amp;"|"&amp;"DrainedArGr",Lookups!$H$52:$J$339,2,FALSE))),IFERROR($D18*VLOOKUP($C18&amp;"|"&amp;VLOOKUP('Stage 2'!$E$11,Lookups!$C$343:$E$365,3,FALSE),Lookups!$K$52:$M$331,2,FALSE),$D18*VLOOKUP($C18,Lookups!$D$52:$O$331,11,FALSE)))))</f>
        <v/>
      </c>
      <c r="F18" s="183" t="str">
        <f>IF(OR(ISBLANK($C18),ISBLANK($D18),ISBLANK($E$10),ISBLANK($E$11)),"",IFERROR($D18*VLOOKUP((IF(OR($C18="Residential urban land",$C18="Commercial/industrial urban land",$C18="Open urban land",$C18="Greenspace",$C18="Community food growing",$C18="Woodland",$C18="Shrub", $C18="Water"), "|||"&amp;$C18, (VLOOKUP('Stage 2'!$E$9,Lookups!$C$369:$D$369,2,FALSE)&amp;"|"&amp;$C18&amp;"|"&amp;VLOOKUP('Stage 2'!$E$12,Lookups!$C$384:$D$385,2,FALSE)&amp;"|"&amp;VLOOKUP('Stage 2'!$E$11,Lookups!$C$343:$E$365,3,FALSE)&amp;"|"&amp;VLOOKUP($E$10,Lookups!$C$375:$D$380,2,FALSE)))),Lookups!$H$52:$J$339,3,FALSE),
IFERROR(IFERROR($D18*VLOOKUP($C18&amp;"|"&amp;VLOOKUP('Stage 2'!$E$12,Lookups!$C$384:$D$385,2,FALSE)&amp;"|"&amp;VLOOKUP('Stage 2'!$E$11,Lookups!$C$343:$E$365,3,FALSE)&amp;"|"&amp;VLOOKUP($E$10,Lookups!$C$375:$D$380,2,FALSE),Lookups!$H$52:$J$339,3,FALSE),IFERROR($D18*VLOOKUP($C18&amp;"|"&amp;"TRUE"&amp;"|"&amp;VLOOKUP('Stage 2'!$E$11,Lookups!$C$343:$E$365,3,FALSE)&amp;"|"&amp;VLOOKUP($E$10,Lookups!$C$375:$D$380,2,FALSE),Lookups!$H$52:$J$339,3,FALSE),$D18*VLOOKUP($C18&amp;"|"&amp;VLOOKUP('Stage 2'!$E$12,Lookups!$C$384:$D$385,2,FALSE)&amp;"|"&amp;VLOOKUP('Stage 2'!$E$11,Lookups!$C$343:$E$365,3,FALSE)&amp;"|"&amp;"DrainedArGr",Lookups!$H$52:$J$339,3,FALSE))),IFERROR($D18*VLOOKUP($C18&amp;"|"&amp;VLOOKUP('Stage 2'!$E$11,Lookups!$C$343:$E$365,3,FALSE),Lookups!$K$52:$M$331,3,FALSE),$D18*VLOOKUP($C18,Lookups!$D$52:$O$331,12,FALSE)))))</f>
        <v/>
      </c>
      <c r="G18" s="163"/>
      <c r="H18" s="164"/>
      <c r="I18" s="164"/>
      <c r="J18" s="164"/>
    </row>
    <row r="19" spans="1:10" x14ac:dyDescent="0.35">
      <c r="A19" s="137"/>
      <c r="B19" s="1"/>
      <c r="C19" s="109"/>
      <c r="D19" s="233"/>
      <c r="E19" s="183" t="str">
        <f>IF(OR(ISBLANK($C19),ISBLANK($D19),ISBLANK($E$10),ISBLANK($E$11)),"",IFERROR($D19*VLOOKUP((IF(OR($C19="Residential urban land",$C19="Commercial/industrial urban land",$C19="Open urban land",$C19="Greenspace",$C19="Community food growing",$C19="Woodland",$C19="Shrub", $C19="Water"), "|||"&amp;$C19, (VLOOKUP('Stage 2'!$E$9,Lookups!$C$369:$D$370,2,FALSE)&amp;"|"&amp;$C19&amp;"|"&amp;VLOOKUP('Stage 2'!$E$12,Lookups!$C$384:$D$385,2,FALSE)&amp;"|"&amp;VLOOKUP('Stage 2'!$E$11,Lookups!$C$343:$E$365,3,FALSE)&amp;"|"&amp;VLOOKUP($E$10,Lookups!$C$375:$D$380,2,FALSE)))),Lookups!$H$52:$J$339,2,FALSE),
IFERROR(IFERROR($D19*VLOOKUP($C19&amp;"|"&amp;VLOOKUP('Stage 2'!$E$12,Lookups!$C$384:$D$385,2,FALSE)&amp;"|"&amp;VLOOKUP('Stage 2'!$E$11,Lookups!$C$343:$E$365,3,FALSE)&amp;"|"&amp;VLOOKUP($E$10,Lookups!$C$375:$D$380,2,FALSE),Lookups!$H$52:$J$339,2,FALSE),IFERROR($D19*VLOOKUP($C19&amp;"|"&amp;"TRUE"&amp;"|"&amp;VLOOKUP('Stage 2'!$E$11,Lookups!$C$343:$E$365,3,FALSE)&amp;"|"&amp;VLOOKUP($E$10,Lookups!$C$375:$D$380,2,FALSE),Lookups!$H$52:$J$339,2,FALSE),$D19*VLOOKUP($C19&amp;"|"&amp;VLOOKUP('Stage 2'!$E$12,Lookups!$C$384:$D$385,2,FALSE)&amp;"|"&amp;VLOOKUP('Stage 2'!$E$11,Lookups!$C$343:$E$365,3,FALSE)&amp;"|"&amp;"DrainedArGr",Lookups!$H$52:$J$339,2,FALSE))),IFERROR($D19*VLOOKUP($C19&amp;"|"&amp;VLOOKUP('Stage 2'!$E$11,Lookups!$C$343:$E$365,3,FALSE),Lookups!$K$52:$M$331,2,FALSE),$D19*VLOOKUP($C19,Lookups!$D$52:$O$331,11,FALSE)))))</f>
        <v/>
      </c>
      <c r="F19" s="183" t="str">
        <f>IF(OR(ISBLANK($C19),ISBLANK($D19),ISBLANK($E$10),ISBLANK($E$11)),"",IFERROR($D19*VLOOKUP((IF(OR($C19="Residential urban land",$C19="Commercial/industrial urban land",$C19="Open urban land",$C19="Greenspace",$C19="Community food growing",$C19="Woodland",$C19="Shrub", $C19="Water"), "|||"&amp;$C19, (VLOOKUP('Stage 2'!$E$9,Lookups!$C$369:$D$369,2,FALSE)&amp;"|"&amp;$C19&amp;"|"&amp;VLOOKUP('Stage 2'!$E$12,Lookups!$C$384:$D$385,2,FALSE)&amp;"|"&amp;VLOOKUP('Stage 2'!$E$11,Lookups!$C$343:$E$365,3,FALSE)&amp;"|"&amp;VLOOKUP($E$10,Lookups!$C$375:$D$380,2,FALSE)))),Lookups!$H$52:$J$339,3,FALSE),
IFERROR(IFERROR($D19*VLOOKUP($C19&amp;"|"&amp;VLOOKUP('Stage 2'!$E$12,Lookups!$C$384:$D$385,2,FALSE)&amp;"|"&amp;VLOOKUP('Stage 2'!$E$11,Lookups!$C$343:$E$365,3,FALSE)&amp;"|"&amp;VLOOKUP($E$10,Lookups!$C$375:$D$380,2,FALSE),Lookups!$H$52:$J$339,3,FALSE),IFERROR($D19*VLOOKUP($C19&amp;"|"&amp;"TRUE"&amp;"|"&amp;VLOOKUP('Stage 2'!$E$11,Lookups!$C$343:$E$365,3,FALSE)&amp;"|"&amp;VLOOKUP($E$10,Lookups!$C$375:$D$380,2,FALSE),Lookups!$H$52:$J$339,3,FALSE),$D19*VLOOKUP($C19&amp;"|"&amp;VLOOKUP('Stage 2'!$E$12,Lookups!$C$384:$D$385,2,FALSE)&amp;"|"&amp;VLOOKUP('Stage 2'!$E$11,Lookups!$C$343:$E$365,3,FALSE)&amp;"|"&amp;"DrainedArGr",Lookups!$H$52:$J$339,3,FALSE))),IFERROR($D19*VLOOKUP($C19&amp;"|"&amp;VLOOKUP('Stage 2'!$E$11,Lookups!$C$343:$E$365,3,FALSE),Lookups!$K$52:$M$331,3,FALSE),$D19*VLOOKUP($C19,Lookups!$D$52:$O$331,12,FALSE)))))</f>
        <v/>
      </c>
      <c r="G19" s="163"/>
      <c r="H19" s="164"/>
      <c r="I19" s="164"/>
      <c r="J19" s="164"/>
    </row>
    <row r="20" spans="1:10" x14ac:dyDescent="0.35">
      <c r="A20" s="137"/>
      <c r="B20" s="1"/>
      <c r="C20" s="109"/>
      <c r="D20" s="233"/>
      <c r="E20" s="183" t="str">
        <f>IF(OR(ISBLANK($C20),ISBLANK($D20),ISBLANK($E$10),ISBLANK($E$11)),"",IFERROR($D20*VLOOKUP((IF(OR($C20="Residential urban land",$C20="Commercial/industrial urban land",$C20="Open urban land",$C20="Greenspace",$C20="Community food growing",$C20="Woodland",$C20="Shrub", $C20="Water"), "|||"&amp;$C20, (VLOOKUP('Stage 2'!$E$9,Lookups!$C$369:$D$370,2,FALSE)&amp;"|"&amp;$C20&amp;"|"&amp;VLOOKUP('Stage 2'!$E$12,Lookups!$C$384:$D$385,2,FALSE)&amp;"|"&amp;VLOOKUP('Stage 2'!$E$11,Lookups!$C$343:$E$365,3,FALSE)&amp;"|"&amp;VLOOKUP($E$10,Lookups!$C$375:$D$380,2,FALSE)))),Lookups!$H$52:$J$339,2,FALSE),
IFERROR(IFERROR($D20*VLOOKUP($C20&amp;"|"&amp;VLOOKUP('Stage 2'!$E$12,Lookups!$C$384:$D$385,2,FALSE)&amp;"|"&amp;VLOOKUP('Stage 2'!$E$11,Lookups!$C$343:$E$365,3,FALSE)&amp;"|"&amp;VLOOKUP($E$10,Lookups!$C$375:$D$380,2,FALSE),Lookups!$H$52:$J$339,2,FALSE),IFERROR($D20*VLOOKUP($C20&amp;"|"&amp;"TRUE"&amp;"|"&amp;VLOOKUP('Stage 2'!$E$11,Lookups!$C$343:$E$365,3,FALSE)&amp;"|"&amp;VLOOKUP($E$10,Lookups!$C$375:$D$380,2,FALSE),Lookups!$H$52:$J$339,2,FALSE),$D20*VLOOKUP($C20&amp;"|"&amp;VLOOKUP('Stage 2'!$E$12,Lookups!$C$384:$D$385,2,FALSE)&amp;"|"&amp;VLOOKUP('Stage 2'!$E$11,Lookups!$C$343:$E$365,3,FALSE)&amp;"|"&amp;"DrainedArGr",Lookups!$H$52:$J$339,2,FALSE))),IFERROR($D20*VLOOKUP($C20&amp;"|"&amp;VLOOKUP('Stage 2'!$E$11,Lookups!$C$343:$E$365,3,FALSE),Lookups!$K$52:$M$331,2,FALSE),$D20*VLOOKUP($C20,Lookups!$D$52:$O$331,11,FALSE)))))</f>
        <v/>
      </c>
      <c r="F20" s="183" t="str">
        <f>IF(OR(ISBLANK($C20),ISBLANK($D20),ISBLANK($E$10),ISBLANK($E$11)),"",IFERROR($D20*VLOOKUP((IF(OR($C20="Residential urban land",$C20="Commercial/industrial urban land",$C20="Open urban land",$C20="Greenspace",$C20="Community food growing",$C20="Woodland",$C20="Shrub", $C20="Water"), "|||"&amp;$C20, (VLOOKUP('Stage 2'!$E$9,Lookups!$C$369:$D$369,2,FALSE)&amp;"|"&amp;$C20&amp;"|"&amp;VLOOKUP('Stage 2'!$E$12,Lookups!$C$384:$D$385,2,FALSE)&amp;"|"&amp;VLOOKUP('Stage 2'!$E$11,Lookups!$C$343:$E$365,3,FALSE)&amp;"|"&amp;VLOOKUP($E$10,Lookups!$C$375:$D$380,2,FALSE)))),Lookups!$H$52:$J$339,3,FALSE),
IFERROR(IFERROR($D20*VLOOKUP($C20&amp;"|"&amp;VLOOKUP('Stage 2'!$E$12,Lookups!$C$384:$D$385,2,FALSE)&amp;"|"&amp;VLOOKUP('Stage 2'!$E$11,Lookups!$C$343:$E$365,3,FALSE)&amp;"|"&amp;VLOOKUP($E$10,Lookups!$C$375:$D$380,2,FALSE),Lookups!$H$52:$J$339,3,FALSE),IFERROR($D20*VLOOKUP($C20&amp;"|"&amp;"TRUE"&amp;"|"&amp;VLOOKUP('Stage 2'!$E$11,Lookups!$C$343:$E$365,3,FALSE)&amp;"|"&amp;VLOOKUP($E$10,Lookups!$C$375:$D$380,2,FALSE),Lookups!$H$52:$J$339,3,FALSE),$D20*VLOOKUP($C20&amp;"|"&amp;VLOOKUP('Stage 2'!$E$12,Lookups!$C$384:$D$385,2,FALSE)&amp;"|"&amp;VLOOKUP('Stage 2'!$E$11,Lookups!$C$343:$E$365,3,FALSE)&amp;"|"&amp;"DrainedArGr",Lookups!$H$52:$J$339,3,FALSE))),IFERROR($D20*VLOOKUP($C20&amp;"|"&amp;VLOOKUP('Stage 2'!$E$11,Lookups!$C$343:$E$365,3,FALSE),Lookups!$K$52:$M$331,3,FALSE),$D20*VLOOKUP($C20,Lookups!$D$52:$O$331,12,FALSE)))))</f>
        <v/>
      </c>
      <c r="G20" s="163"/>
      <c r="H20" s="164"/>
      <c r="I20" s="164"/>
      <c r="J20" s="164"/>
    </row>
    <row r="21" spans="1:10" x14ac:dyDescent="0.35">
      <c r="A21" s="137"/>
      <c r="B21" s="1"/>
      <c r="C21" s="109"/>
      <c r="D21" s="233"/>
      <c r="E21" s="183" t="str">
        <f>IF(OR(ISBLANK($C21),ISBLANK($D21),ISBLANK($E$10),ISBLANK($E$11)),"",IFERROR($D21*VLOOKUP((IF(OR($C21="Residential urban land",$C21="Commercial/industrial urban land",$C21="Open urban land",$C21="Greenspace",$C21="Community food growing",$C21="Woodland",$C21="Shrub", $C21="Water"), "|||"&amp;$C21, (VLOOKUP('Stage 2'!$E$9,Lookups!$C$369:$D$370,2,FALSE)&amp;"|"&amp;$C21&amp;"|"&amp;VLOOKUP('Stage 2'!$E$12,Lookups!$C$384:$D$385,2,FALSE)&amp;"|"&amp;VLOOKUP('Stage 2'!$E$11,Lookups!$C$343:$E$365,3,FALSE)&amp;"|"&amp;VLOOKUP($E$10,Lookups!$C$375:$D$380,2,FALSE)))),Lookups!$H$52:$J$339,2,FALSE),
IFERROR(IFERROR($D21*VLOOKUP($C21&amp;"|"&amp;VLOOKUP('Stage 2'!$E$12,Lookups!$C$384:$D$385,2,FALSE)&amp;"|"&amp;VLOOKUP('Stage 2'!$E$11,Lookups!$C$343:$E$365,3,FALSE)&amp;"|"&amp;VLOOKUP($E$10,Lookups!$C$375:$D$380,2,FALSE),Lookups!$H$52:$J$339,2,FALSE),IFERROR($D21*VLOOKUP($C21&amp;"|"&amp;"TRUE"&amp;"|"&amp;VLOOKUP('Stage 2'!$E$11,Lookups!$C$343:$E$365,3,FALSE)&amp;"|"&amp;VLOOKUP($E$10,Lookups!$C$375:$D$380,2,FALSE),Lookups!$H$52:$J$339,2,FALSE),$D21*VLOOKUP($C21&amp;"|"&amp;VLOOKUP('Stage 2'!$E$12,Lookups!$C$384:$D$385,2,FALSE)&amp;"|"&amp;VLOOKUP('Stage 2'!$E$11,Lookups!$C$343:$E$365,3,FALSE)&amp;"|"&amp;"DrainedArGr",Lookups!$H$52:$J$339,2,FALSE))),IFERROR($D21*VLOOKUP($C21&amp;"|"&amp;VLOOKUP('Stage 2'!$E$11,Lookups!$C$343:$E$365,3,FALSE),Lookups!$K$52:$M$331,2,FALSE),$D21*VLOOKUP($C21,Lookups!$D$52:$O$331,11,FALSE)))))</f>
        <v/>
      </c>
      <c r="F21" s="183" t="str">
        <f>IF(OR(ISBLANK($C21),ISBLANK($D21),ISBLANK($E$10),ISBLANK($E$11)),"",IFERROR($D21*VLOOKUP((IF(OR($C21="Residential urban land",$C21="Commercial/industrial urban land",$C21="Open urban land",$C21="Greenspace",$C21="Community food growing",$C21="Woodland",$C21="Shrub", $C21="Water"), "|||"&amp;$C21, (VLOOKUP('Stage 2'!$E$9,Lookups!$C$369:$D$369,2,FALSE)&amp;"|"&amp;$C21&amp;"|"&amp;VLOOKUP('Stage 2'!$E$12,Lookups!$C$384:$D$385,2,FALSE)&amp;"|"&amp;VLOOKUP('Stage 2'!$E$11,Lookups!$C$343:$E$365,3,FALSE)&amp;"|"&amp;VLOOKUP($E$10,Lookups!$C$375:$D$380,2,FALSE)))),Lookups!$H$52:$J$339,3,FALSE),
IFERROR(IFERROR($D21*VLOOKUP($C21&amp;"|"&amp;VLOOKUP('Stage 2'!$E$12,Lookups!$C$384:$D$385,2,FALSE)&amp;"|"&amp;VLOOKUP('Stage 2'!$E$11,Lookups!$C$343:$E$365,3,FALSE)&amp;"|"&amp;VLOOKUP($E$10,Lookups!$C$375:$D$380,2,FALSE),Lookups!$H$52:$J$339,3,FALSE),IFERROR($D21*VLOOKUP($C21&amp;"|"&amp;"TRUE"&amp;"|"&amp;VLOOKUP('Stage 2'!$E$11,Lookups!$C$343:$E$365,3,FALSE)&amp;"|"&amp;VLOOKUP($E$10,Lookups!$C$375:$D$380,2,FALSE),Lookups!$H$52:$J$339,3,FALSE),$D21*VLOOKUP($C21&amp;"|"&amp;VLOOKUP('Stage 2'!$E$12,Lookups!$C$384:$D$385,2,FALSE)&amp;"|"&amp;VLOOKUP('Stage 2'!$E$11,Lookups!$C$343:$E$365,3,FALSE)&amp;"|"&amp;"DrainedArGr",Lookups!$H$52:$J$339,3,FALSE))),IFERROR($D21*VLOOKUP($C21&amp;"|"&amp;VLOOKUP('Stage 2'!$E$11,Lookups!$C$343:$E$365,3,FALSE),Lookups!$K$52:$M$331,3,FALSE),$D21*VLOOKUP($C21,Lookups!$D$52:$O$331,12,FALSE)))))</f>
        <v/>
      </c>
      <c r="G21" s="156"/>
    </row>
    <row r="22" spans="1:10" x14ac:dyDescent="0.35">
      <c r="A22" s="137"/>
      <c r="B22" s="1"/>
      <c r="C22" s="109"/>
      <c r="D22" s="233"/>
      <c r="E22" s="183" t="str">
        <f>IF(OR(ISBLANK($C22),ISBLANK($D22),ISBLANK($E$10),ISBLANK($E$11)),"",IFERROR($D22*VLOOKUP((IF(OR($C22="Residential urban land",$C22="Commercial/industrial urban land",$C22="Open urban land",$C22="Greenspace",$C22="Community food growing",$C22="Woodland",$C22="Shrub", $C22="Water"), "|||"&amp;$C22, (VLOOKUP('Stage 2'!$E$9,Lookups!$C$369:$D$370,2,FALSE)&amp;"|"&amp;$C22&amp;"|"&amp;VLOOKUP('Stage 2'!$E$12,Lookups!$C$384:$D$385,2,FALSE)&amp;"|"&amp;VLOOKUP('Stage 2'!$E$11,Lookups!$C$343:$E$365,3,FALSE)&amp;"|"&amp;VLOOKUP($E$10,Lookups!$C$375:$D$380,2,FALSE)))),Lookups!$H$52:$J$339,2,FALSE),
IFERROR(IFERROR($D22*VLOOKUP($C22&amp;"|"&amp;VLOOKUP('Stage 2'!$E$12,Lookups!$C$384:$D$385,2,FALSE)&amp;"|"&amp;VLOOKUP('Stage 2'!$E$11,Lookups!$C$343:$E$365,3,FALSE)&amp;"|"&amp;VLOOKUP($E$10,Lookups!$C$375:$D$380,2,FALSE),Lookups!$H$52:$J$339,2,FALSE),IFERROR($D22*VLOOKUP($C22&amp;"|"&amp;"TRUE"&amp;"|"&amp;VLOOKUP('Stage 2'!$E$11,Lookups!$C$343:$E$365,3,FALSE)&amp;"|"&amp;VLOOKUP($E$10,Lookups!$C$375:$D$380,2,FALSE),Lookups!$H$52:$J$339,2,FALSE),$D22*VLOOKUP($C22&amp;"|"&amp;VLOOKUP('Stage 2'!$E$12,Lookups!$C$384:$D$385,2,FALSE)&amp;"|"&amp;VLOOKUP('Stage 2'!$E$11,Lookups!$C$343:$E$365,3,FALSE)&amp;"|"&amp;"DrainedArGr",Lookups!$H$52:$J$339,2,FALSE))),IFERROR($D22*VLOOKUP($C22&amp;"|"&amp;VLOOKUP('Stage 2'!$E$11,Lookups!$C$343:$E$365,3,FALSE),Lookups!$K$52:$M$331,2,FALSE),$D22*VLOOKUP($C22,Lookups!$D$52:$O$331,11,FALSE)))))</f>
        <v/>
      </c>
      <c r="F22" s="183" t="str">
        <f>IF(OR(ISBLANK($C22),ISBLANK($D22),ISBLANK($E$10),ISBLANK($E$11)),"",IFERROR($D22*VLOOKUP((IF(OR($C22="Residential urban land",$C22="Commercial/industrial urban land",$C22="Open urban land",$C22="Greenspace",$C22="Community food growing",$C22="Woodland",$C22="Shrub", $C22="Water"), "|||"&amp;$C22, (VLOOKUP('Stage 2'!$E$9,Lookups!$C$369:$D$369,2,FALSE)&amp;"|"&amp;$C22&amp;"|"&amp;VLOOKUP('Stage 2'!$E$12,Lookups!$C$384:$D$385,2,FALSE)&amp;"|"&amp;VLOOKUP('Stage 2'!$E$11,Lookups!$C$343:$E$365,3,FALSE)&amp;"|"&amp;VLOOKUP($E$10,Lookups!$C$375:$D$380,2,FALSE)))),Lookups!$H$52:$J$339,3,FALSE),
IFERROR(IFERROR($D22*VLOOKUP($C22&amp;"|"&amp;VLOOKUP('Stage 2'!$E$12,Lookups!$C$384:$D$385,2,FALSE)&amp;"|"&amp;VLOOKUP('Stage 2'!$E$11,Lookups!$C$343:$E$365,3,FALSE)&amp;"|"&amp;VLOOKUP($E$10,Lookups!$C$375:$D$380,2,FALSE),Lookups!$H$52:$J$339,3,FALSE),IFERROR($D22*VLOOKUP($C22&amp;"|"&amp;"TRUE"&amp;"|"&amp;VLOOKUP('Stage 2'!$E$11,Lookups!$C$343:$E$365,3,FALSE)&amp;"|"&amp;VLOOKUP($E$10,Lookups!$C$375:$D$380,2,FALSE),Lookups!$H$52:$J$339,3,FALSE),$D22*VLOOKUP($C22&amp;"|"&amp;VLOOKUP('Stage 2'!$E$12,Lookups!$C$384:$D$385,2,FALSE)&amp;"|"&amp;VLOOKUP('Stage 2'!$E$11,Lookups!$C$343:$E$365,3,FALSE)&amp;"|"&amp;"DrainedArGr",Lookups!$H$52:$J$339,3,FALSE))),IFERROR($D22*VLOOKUP($C22&amp;"|"&amp;VLOOKUP('Stage 2'!$E$11,Lookups!$C$343:$E$365,3,FALSE),Lookups!$K$52:$M$331,3,FALSE),$D22*VLOOKUP($C22,Lookups!$D$52:$O$331,12,FALSE)))))</f>
        <v/>
      </c>
      <c r="G22" s="156"/>
    </row>
    <row r="23" spans="1:10" x14ac:dyDescent="0.35">
      <c r="A23" s="137"/>
      <c r="B23" s="1"/>
      <c r="C23" s="109"/>
      <c r="D23" s="233"/>
      <c r="E23" s="183" t="str">
        <f>IF(OR(ISBLANK($C23),ISBLANK($D23),ISBLANK($E$10),ISBLANK($E$11)),"",IFERROR($D23*VLOOKUP((IF(OR($C23="Residential urban land",$C23="Commercial/industrial urban land",$C23="Open urban land",$C23="Greenspace",$C23="Community food growing",$C23="Woodland",$C23="Shrub", $C23="Water"), "|||"&amp;$C23, (VLOOKUP('Stage 2'!$E$9,Lookups!$C$369:$D$370,2,FALSE)&amp;"|"&amp;$C23&amp;"|"&amp;VLOOKUP('Stage 2'!$E$12,Lookups!$C$384:$D$385,2,FALSE)&amp;"|"&amp;VLOOKUP('Stage 2'!$E$11,Lookups!$C$343:$E$365,3,FALSE)&amp;"|"&amp;VLOOKUP($E$10,Lookups!$C$375:$D$380,2,FALSE)))),Lookups!$H$52:$J$339,2,FALSE),
IFERROR(IFERROR($D23*VLOOKUP($C23&amp;"|"&amp;VLOOKUP('Stage 2'!$E$12,Lookups!$C$384:$D$385,2,FALSE)&amp;"|"&amp;VLOOKUP('Stage 2'!$E$11,Lookups!$C$343:$E$365,3,FALSE)&amp;"|"&amp;VLOOKUP($E$10,Lookups!$C$375:$D$380,2,FALSE),Lookups!$H$52:$J$339,2,FALSE),IFERROR($D23*VLOOKUP($C23&amp;"|"&amp;"TRUE"&amp;"|"&amp;VLOOKUP('Stage 2'!$E$11,Lookups!$C$343:$E$365,3,FALSE)&amp;"|"&amp;VLOOKUP($E$10,Lookups!$C$375:$D$380,2,FALSE),Lookups!$H$52:$J$339,2,FALSE),$D23*VLOOKUP($C23&amp;"|"&amp;VLOOKUP('Stage 2'!$E$12,Lookups!$C$384:$D$385,2,FALSE)&amp;"|"&amp;VLOOKUP('Stage 2'!$E$11,Lookups!$C$343:$E$365,3,FALSE)&amp;"|"&amp;"DrainedArGr",Lookups!$H$52:$J$339,2,FALSE))),IFERROR($D23*VLOOKUP($C23&amp;"|"&amp;VLOOKUP('Stage 2'!$E$11,Lookups!$C$343:$E$365,3,FALSE),Lookups!$K$52:$M$331,2,FALSE),$D23*VLOOKUP($C23,Lookups!$D$52:$O$331,11,FALSE)))))</f>
        <v/>
      </c>
      <c r="F23" s="183" t="str">
        <f>IF(OR(ISBLANK($C23),ISBLANK($D23),ISBLANK($E$10),ISBLANK($E$11)),"",IFERROR($D23*VLOOKUP((IF(OR($C23="Residential urban land",$C23="Commercial/industrial urban land",$C23="Open urban land",$C23="Greenspace",$C23="Community food growing",$C23="Woodland",$C23="Shrub", $C23="Water"), "|||"&amp;$C23, (VLOOKUP('Stage 2'!$E$9,Lookups!$C$369:$D$369,2,FALSE)&amp;"|"&amp;$C23&amp;"|"&amp;VLOOKUP('Stage 2'!$E$12,Lookups!$C$384:$D$385,2,FALSE)&amp;"|"&amp;VLOOKUP('Stage 2'!$E$11,Lookups!$C$343:$E$365,3,FALSE)&amp;"|"&amp;VLOOKUP($E$10,Lookups!$C$375:$D$380,2,FALSE)))),Lookups!$H$52:$J$339,3,FALSE),
IFERROR(IFERROR($D23*VLOOKUP($C23&amp;"|"&amp;VLOOKUP('Stage 2'!$E$12,Lookups!$C$384:$D$385,2,FALSE)&amp;"|"&amp;VLOOKUP('Stage 2'!$E$11,Lookups!$C$343:$E$365,3,FALSE)&amp;"|"&amp;VLOOKUP($E$10,Lookups!$C$375:$D$380,2,FALSE),Lookups!$H$52:$J$339,3,FALSE),IFERROR($D23*VLOOKUP($C23&amp;"|"&amp;"TRUE"&amp;"|"&amp;VLOOKUP('Stage 2'!$E$11,Lookups!$C$343:$E$365,3,FALSE)&amp;"|"&amp;VLOOKUP($E$10,Lookups!$C$375:$D$380,2,FALSE),Lookups!$H$52:$J$339,3,FALSE),$D23*VLOOKUP($C23&amp;"|"&amp;VLOOKUP('Stage 2'!$E$12,Lookups!$C$384:$D$385,2,FALSE)&amp;"|"&amp;VLOOKUP('Stage 2'!$E$11,Lookups!$C$343:$E$365,3,FALSE)&amp;"|"&amp;"DrainedArGr",Lookups!$H$52:$J$339,3,FALSE))),IFERROR($D23*VLOOKUP($C23&amp;"|"&amp;VLOOKUP('Stage 2'!$E$11,Lookups!$C$343:$E$365,3,FALSE),Lookups!$K$52:$M$331,3,FALSE),$D23*VLOOKUP($C23,Lookups!$D$52:$O$331,12,FALSE)))))</f>
        <v/>
      </c>
      <c r="G23" s="156"/>
    </row>
    <row r="24" spans="1:10" x14ac:dyDescent="0.35">
      <c r="A24" s="137"/>
      <c r="B24" s="1"/>
      <c r="C24" s="109"/>
      <c r="D24" s="233"/>
      <c r="E24" s="183" t="str">
        <f>IF(OR(ISBLANK($C24),ISBLANK($D24),ISBLANK($E$10),ISBLANK($E$11)),"",IFERROR($D24*VLOOKUP((IF(OR($C24="Residential urban land",$C24="Commercial/industrial urban land",$C24="Open urban land",$C24="Greenspace",$C24="Community food growing",$C24="Woodland",$C24="Shrub", $C24="Water"), "|||"&amp;$C24, (VLOOKUP('Stage 2'!$E$9,Lookups!$C$369:$D$370,2,FALSE)&amp;"|"&amp;$C24&amp;"|"&amp;VLOOKUP('Stage 2'!$E$12,Lookups!$C$384:$D$385,2,FALSE)&amp;"|"&amp;VLOOKUP('Stage 2'!$E$11,Lookups!$C$343:$E$365,3,FALSE)&amp;"|"&amp;VLOOKUP($E$10,Lookups!$C$375:$D$380,2,FALSE)))),Lookups!$H$52:$J$339,2,FALSE),
IFERROR(IFERROR($D24*VLOOKUP($C24&amp;"|"&amp;VLOOKUP('Stage 2'!$E$12,Lookups!$C$384:$D$385,2,FALSE)&amp;"|"&amp;VLOOKUP('Stage 2'!$E$11,Lookups!$C$343:$E$365,3,FALSE)&amp;"|"&amp;VLOOKUP($E$10,Lookups!$C$375:$D$380,2,FALSE),Lookups!$H$52:$J$339,2,FALSE),IFERROR($D24*VLOOKUP($C24&amp;"|"&amp;"TRUE"&amp;"|"&amp;VLOOKUP('Stage 2'!$E$11,Lookups!$C$343:$E$365,3,FALSE)&amp;"|"&amp;VLOOKUP($E$10,Lookups!$C$375:$D$380,2,FALSE),Lookups!$H$52:$J$339,2,FALSE),$D24*VLOOKUP($C24&amp;"|"&amp;VLOOKUP('Stage 2'!$E$12,Lookups!$C$384:$D$385,2,FALSE)&amp;"|"&amp;VLOOKUP('Stage 2'!$E$11,Lookups!$C$343:$E$365,3,FALSE)&amp;"|"&amp;"DrainedArGr",Lookups!$H$52:$J$339,2,FALSE))),IFERROR($D24*VLOOKUP($C24&amp;"|"&amp;VLOOKUP('Stage 2'!$E$11,Lookups!$C$343:$E$365,3,FALSE),Lookups!$K$52:$M$331,2,FALSE),$D24*VLOOKUP($C24,Lookups!$D$52:$O$331,11,FALSE)))))</f>
        <v/>
      </c>
      <c r="F24" s="183" t="str">
        <f>IF(OR(ISBLANK($C24),ISBLANK($D24),ISBLANK($E$10),ISBLANK($E$11)),"",IFERROR($D24*VLOOKUP((IF(OR($C24="Residential urban land",$C24="Commercial/industrial urban land",$C24="Open urban land",$C24="Greenspace",$C24="Community food growing",$C24="Woodland",$C24="Shrub", $C24="Water"), "|||"&amp;$C24, (VLOOKUP('Stage 2'!$E$9,Lookups!$C$369:$D$369,2,FALSE)&amp;"|"&amp;$C24&amp;"|"&amp;VLOOKUP('Stage 2'!$E$12,Lookups!$C$384:$D$385,2,FALSE)&amp;"|"&amp;VLOOKUP('Stage 2'!$E$11,Lookups!$C$343:$E$365,3,FALSE)&amp;"|"&amp;VLOOKUP($E$10,Lookups!$C$375:$D$380,2,FALSE)))),Lookups!$H$52:$J$339,3,FALSE),
IFERROR(IFERROR($D24*VLOOKUP($C24&amp;"|"&amp;VLOOKUP('Stage 2'!$E$12,Lookups!$C$384:$D$385,2,FALSE)&amp;"|"&amp;VLOOKUP('Stage 2'!$E$11,Lookups!$C$343:$E$365,3,FALSE)&amp;"|"&amp;VLOOKUP($E$10,Lookups!$C$375:$D$380,2,FALSE),Lookups!$H$52:$J$339,3,FALSE),IFERROR($D24*VLOOKUP($C24&amp;"|"&amp;"TRUE"&amp;"|"&amp;VLOOKUP('Stage 2'!$E$11,Lookups!$C$343:$E$365,3,FALSE)&amp;"|"&amp;VLOOKUP($E$10,Lookups!$C$375:$D$380,2,FALSE),Lookups!$H$52:$J$339,3,FALSE),$D24*VLOOKUP($C24&amp;"|"&amp;VLOOKUP('Stage 2'!$E$12,Lookups!$C$384:$D$385,2,FALSE)&amp;"|"&amp;VLOOKUP('Stage 2'!$E$11,Lookups!$C$343:$E$365,3,FALSE)&amp;"|"&amp;"DrainedArGr",Lookups!$H$52:$J$339,3,FALSE))),IFERROR($D24*VLOOKUP($C24&amp;"|"&amp;VLOOKUP('Stage 2'!$E$11,Lookups!$C$343:$E$365,3,FALSE),Lookups!$K$52:$M$331,3,FALSE),$D24*VLOOKUP($C24,Lookups!$D$52:$O$331,12,FALSE)))))</f>
        <v/>
      </c>
      <c r="G24" s="156"/>
    </row>
    <row r="25" spans="1:10" x14ac:dyDescent="0.35">
      <c r="A25" s="137"/>
      <c r="B25" s="1"/>
      <c r="C25" s="109"/>
      <c r="D25" s="233"/>
      <c r="E25" s="183" t="str">
        <f>IF(OR(ISBLANK($C25),ISBLANK($D25),ISBLANK($E$10),ISBLANK($E$11)),"",IFERROR($D25*VLOOKUP((IF(OR($C25="Residential urban land",$C25="Commercial/industrial urban land",$C25="Open urban land",$C25="Greenspace",$C25="Community food growing",$C25="Woodland",$C25="Shrub", $C25="Water"), "|||"&amp;$C25, (VLOOKUP('Stage 2'!$E$9,Lookups!$C$369:$D$370,2,FALSE)&amp;"|"&amp;$C25&amp;"|"&amp;VLOOKUP('Stage 2'!$E$12,Lookups!$C$384:$D$385,2,FALSE)&amp;"|"&amp;VLOOKUP('Stage 2'!$E$11,Lookups!$C$343:$E$365,3,FALSE)&amp;"|"&amp;VLOOKUP($E$10,Lookups!$C$375:$D$380,2,FALSE)))),Lookups!$H$52:$J$339,2,FALSE),
IFERROR(IFERROR($D25*VLOOKUP($C25&amp;"|"&amp;VLOOKUP('Stage 2'!$E$12,Lookups!$C$384:$D$385,2,FALSE)&amp;"|"&amp;VLOOKUP('Stage 2'!$E$11,Lookups!$C$343:$E$365,3,FALSE)&amp;"|"&amp;VLOOKUP($E$10,Lookups!$C$375:$D$380,2,FALSE),Lookups!$H$52:$J$339,2,FALSE),IFERROR($D25*VLOOKUP($C25&amp;"|"&amp;"TRUE"&amp;"|"&amp;VLOOKUP('Stage 2'!$E$11,Lookups!$C$343:$E$365,3,FALSE)&amp;"|"&amp;VLOOKUP($E$10,Lookups!$C$375:$D$380,2,FALSE),Lookups!$H$52:$J$339,2,FALSE),$D25*VLOOKUP($C25&amp;"|"&amp;VLOOKUP('Stage 2'!$E$12,Lookups!$C$384:$D$385,2,FALSE)&amp;"|"&amp;VLOOKUP('Stage 2'!$E$11,Lookups!$C$343:$E$365,3,FALSE)&amp;"|"&amp;"DrainedArGr",Lookups!$H$52:$J$339,2,FALSE))),IFERROR($D25*VLOOKUP($C25&amp;"|"&amp;VLOOKUP('Stage 2'!$E$11,Lookups!$C$343:$E$365,3,FALSE),Lookups!$K$52:$M$331,2,FALSE),$D25*VLOOKUP($C25,Lookups!$D$52:$O$331,11,FALSE)))))</f>
        <v/>
      </c>
      <c r="F25" s="183" t="str">
        <f>IF(OR(ISBLANK($C25),ISBLANK($D25),ISBLANK($E$10),ISBLANK($E$11)),"",IFERROR($D25*VLOOKUP((IF(OR($C25="Residential urban land",$C25="Commercial/industrial urban land",$C25="Open urban land",$C25="Greenspace",$C25="Community food growing",$C25="Woodland",$C25="Shrub", $C25="Water"), "|||"&amp;$C25, (VLOOKUP('Stage 2'!$E$9,Lookups!$C$369:$D$369,2,FALSE)&amp;"|"&amp;$C25&amp;"|"&amp;VLOOKUP('Stage 2'!$E$12,Lookups!$C$384:$D$385,2,FALSE)&amp;"|"&amp;VLOOKUP('Stage 2'!$E$11,Lookups!$C$343:$E$365,3,FALSE)&amp;"|"&amp;VLOOKUP($E$10,Lookups!$C$375:$D$380,2,FALSE)))),Lookups!$H$52:$J$339,3,FALSE),
IFERROR(IFERROR($D25*VLOOKUP($C25&amp;"|"&amp;VLOOKUP('Stage 2'!$E$12,Lookups!$C$384:$D$385,2,FALSE)&amp;"|"&amp;VLOOKUP('Stage 2'!$E$11,Lookups!$C$343:$E$365,3,FALSE)&amp;"|"&amp;VLOOKUP($E$10,Lookups!$C$375:$D$380,2,FALSE),Lookups!$H$52:$J$339,3,FALSE),IFERROR($D25*VLOOKUP($C25&amp;"|"&amp;"TRUE"&amp;"|"&amp;VLOOKUP('Stage 2'!$E$11,Lookups!$C$343:$E$365,3,FALSE)&amp;"|"&amp;VLOOKUP($E$10,Lookups!$C$375:$D$380,2,FALSE),Lookups!$H$52:$J$339,3,FALSE),$D25*VLOOKUP($C25&amp;"|"&amp;VLOOKUP('Stage 2'!$E$12,Lookups!$C$384:$D$385,2,FALSE)&amp;"|"&amp;VLOOKUP('Stage 2'!$E$11,Lookups!$C$343:$E$365,3,FALSE)&amp;"|"&amp;"DrainedArGr",Lookups!$H$52:$J$339,3,FALSE))),IFERROR($D25*VLOOKUP($C25&amp;"|"&amp;VLOOKUP('Stage 2'!$E$11,Lookups!$C$343:$E$365,3,FALSE),Lookups!$K$52:$M$331,3,FALSE),$D25*VLOOKUP($C25,Lookups!$D$52:$O$331,12,FALSE)))))</f>
        <v/>
      </c>
      <c r="G25" s="156"/>
    </row>
    <row r="26" spans="1:10" x14ac:dyDescent="0.35">
      <c r="A26" s="137"/>
      <c r="B26" s="1"/>
      <c r="C26" s="109"/>
      <c r="D26" s="233"/>
      <c r="E26" s="183" t="str">
        <f>IF(OR(ISBLANK($C26),ISBLANK($D26),ISBLANK($E$10),ISBLANK($E$11)),"",IFERROR($D26*VLOOKUP((IF(OR($C26="Residential urban land",$C26="Commercial/industrial urban land",$C26="Open urban land",$C26="Greenspace",$C26="Community food growing",$C26="Woodland",$C26="Shrub", $C26="Water"), "|||"&amp;$C26, (VLOOKUP('Stage 2'!$E$9,Lookups!$C$369:$D$370,2,FALSE)&amp;"|"&amp;$C26&amp;"|"&amp;VLOOKUP('Stage 2'!$E$12,Lookups!$C$384:$D$385,2,FALSE)&amp;"|"&amp;VLOOKUP('Stage 2'!$E$11,Lookups!$C$343:$E$365,3,FALSE)&amp;"|"&amp;VLOOKUP($E$10,Lookups!$C$375:$D$380,2,FALSE)))),Lookups!$H$52:$J$339,2,FALSE),
IFERROR(IFERROR($D26*VLOOKUP($C26&amp;"|"&amp;VLOOKUP('Stage 2'!$E$12,Lookups!$C$384:$D$385,2,FALSE)&amp;"|"&amp;VLOOKUP('Stage 2'!$E$11,Lookups!$C$343:$E$365,3,FALSE)&amp;"|"&amp;VLOOKUP($E$10,Lookups!$C$375:$D$380,2,FALSE),Lookups!$H$52:$J$339,2,FALSE),IFERROR($D26*VLOOKUP($C26&amp;"|"&amp;"TRUE"&amp;"|"&amp;VLOOKUP('Stage 2'!$E$11,Lookups!$C$343:$E$365,3,FALSE)&amp;"|"&amp;VLOOKUP($E$10,Lookups!$C$375:$D$380,2,FALSE),Lookups!$H$52:$J$339,2,FALSE),$D26*VLOOKUP($C26&amp;"|"&amp;VLOOKUP('Stage 2'!$E$12,Lookups!$C$384:$D$385,2,FALSE)&amp;"|"&amp;VLOOKUP('Stage 2'!$E$11,Lookups!$C$343:$E$365,3,FALSE)&amp;"|"&amp;"DrainedArGr",Lookups!$H$52:$J$339,2,FALSE))),IFERROR($D26*VLOOKUP($C26&amp;"|"&amp;VLOOKUP('Stage 2'!$E$11,Lookups!$C$343:$E$365,3,FALSE),Lookups!$K$52:$M$331,2,FALSE),$D26*VLOOKUP($C26,Lookups!$D$52:$O$331,11,FALSE)))))</f>
        <v/>
      </c>
      <c r="F26" s="183" t="str">
        <f>IF(OR(ISBLANK($C26),ISBLANK($D26),ISBLANK($E$10),ISBLANK($E$11)),"",IFERROR($D26*VLOOKUP((IF(OR($C26="Residential urban land",$C26="Commercial/industrial urban land",$C26="Open urban land",$C26="Greenspace",$C26="Community food growing",$C26="Woodland",$C26="Shrub", $C26="Water"), "|||"&amp;$C26, (VLOOKUP('Stage 2'!$E$9,Lookups!$C$369:$D$369,2,FALSE)&amp;"|"&amp;$C26&amp;"|"&amp;VLOOKUP('Stage 2'!$E$12,Lookups!$C$384:$D$385,2,FALSE)&amp;"|"&amp;VLOOKUP('Stage 2'!$E$11,Lookups!$C$343:$E$365,3,FALSE)&amp;"|"&amp;VLOOKUP($E$10,Lookups!$C$375:$D$380,2,FALSE)))),Lookups!$H$52:$J$339,3,FALSE),
IFERROR(IFERROR($D26*VLOOKUP($C26&amp;"|"&amp;VLOOKUP('Stage 2'!$E$12,Lookups!$C$384:$D$385,2,FALSE)&amp;"|"&amp;VLOOKUP('Stage 2'!$E$11,Lookups!$C$343:$E$365,3,FALSE)&amp;"|"&amp;VLOOKUP($E$10,Lookups!$C$375:$D$380,2,FALSE),Lookups!$H$52:$J$339,3,FALSE),IFERROR($D26*VLOOKUP($C26&amp;"|"&amp;"TRUE"&amp;"|"&amp;VLOOKUP('Stage 2'!$E$11,Lookups!$C$343:$E$365,3,FALSE)&amp;"|"&amp;VLOOKUP($E$10,Lookups!$C$375:$D$380,2,FALSE),Lookups!$H$52:$J$339,3,FALSE),$D26*VLOOKUP($C26&amp;"|"&amp;VLOOKUP('Stage 2'!$E$12,Lookups!$C$384:$D$385,2,FALSE)&amp;"|"&amp;VLOOKUP('Stage 2'!$E$11,Lookups!$C$343:$E$365,3,FALSE)&amp;"|"&amp;"DrainedArGr",Lookups!$H$52:$J$339,3,FALSE))),IFERROR($D26*VLOOKUP($C26&amp;"|"&amp;VLOOKUP('Stage 2'!$E$11,Lookups!$C$343:$E$365,3,FALSE),Lookups!$K$52:$M$331,3,FALSE),$D26*VLOOKUP($C26,Lookups!$D$52:$O$331,12,FALSE)))))</f>
        <v/>
      </c>
      <c r="G26" s="156"/>
    </row>
    <row r="27" spans="1:10" x14ac:dyDescent="0.35">
      <c r="A27" s="137"/>
      <c r="B27" s="1"/>
      <c r="C27" s="109"/>
      <c r="D27" s="233"/>
      <c r="E27" s="183" t="str">
        <f>IF(OR(ISBLANK($C27),ISBLANK($D27),ISBLANK($E$10),ISBLANK($E$11)),"",IFERROR($D27*VLOOKUP((IF(OR($C27="Residential urban land",$C27="Commercial/industrial urban land",$C27="Open urban land",$C27="Greenspace",$C27="Community food growing",$C27="Woodland",$C27="Shrub", $C27="Water"), "|||"&amp;$C27, (VLOOKUP('Stage 2'!$E$9,Lookups!$C$369:$D$370,2,FALSE)&amp;"|"&amp;$C27&amp;"|"&amp;VLOOKUP('Stage 2'!$E$12,Lookups!$C$384:$D$385,2,FALSE)&amp;"|"&amp;VLOOKUP('Stage 2'!$E$11,Lookups!$C$343:$E$365,3,FALSE)&amp;"|"&amp;VLOOKUP($E$10,Lookups!$C$375:$D$380,2,FALSE)))),Lookups!$H$52:$J$339,2,FALSE),
IFERROR(IFERROR($D27*VLOOKUP($C27&amp;"|"&amp;VLOOKUP('Stage 2'!$E$12,Lookups!$C$384:$D$385,2,FALSE)&amp;"|"&amp;VLOOKUP('Stage 2'!$E$11,Lookups!$C$343:$E$365,3,FALSE)&amp;"|"&amp;VLOOKUP($E$10,Lookups!$C$375:$D$380,2,FALSE),Lookups!$H$52:$J$339,2,FALSE),IFERROR($D27*VLOOKUP($C27&amp;"|"&amp;"TRUE"&amp;"|"&amp;VLOOKUP('Stage 2'!$E$11,Lookups!$C$343:$E$365,3,FALSE)&amp;"|"&amp;VLOOKUP($E$10,Lookups!$C$375:$D$380,2,FALSE),Lookups!$H$52:$J$339,2,FALSE),$D27*VLOOKUP($C27&amp;"|"&amp;VLOOKUP('Stage 2'!$E$12,Lookups!$C$384:$D$385,2,FALSE)&amp;"|"&amp;VLOOKUP('Stage 2'!$E$11,Lookups!$C$343:$E$365,3,FALSE)&amp;"|"&amp;"DrainedArGr",Lookups!$H$52:$J$339,2,FALSE))),IFERROR($D27*VLOOKUP($C27&amp;"|"&amp;VLOOKUP('Stage 2'!$E$11,Lookups!$C$343:$E$365,3,FALSE),Lookups!$K$52:$M$331,2,FALSE),$D27*VLOOKUP($C27,Lookups!$D$52:$O$331,11,FALSE)))))</f>
        <v/>
      </c>
      <c r="F27" s="183" t="str">
        <f>IF(OR(ISBLANK($C27),ISBLANK($D27),ISBLANK($E$10),ISBLANK($E$11)),"",IFERROR($D27*VLOOKUP((IF(OR($C27="Residential urban land",$C27="Commercial/industrial urban land",$C27="Open urban land",$C27="Greenspace",$C27="Community food growing",$C27="Woodland",$C27="Shrub", $C27="Water"), "|||"&amp;$C27, (VLOOKUP('Stage 2'!$E$9,Lookups!$C$369:$D$369,2,FALSE)&amp;"|"&amp;$C27&amp;"|"&amp;VLOOKUP('Stage 2'!$E$12,Lookups!$C$384:$D$385,2,FALSE)&amp;"|"&amp;VLOOKUP('Stage 2'!$E$11,Lookups!$C$343:$E$365,3,FALSE)&amp;"|"&amp;VLOOKUP($E$10,Lookups!$C$375:$D$380,2,FALSE)))),Lookups!$H$52:$J$339,3,FALSE),
IFERROR(IFERROR($D27*VLOOKUP($C27&amp;"|"&amp;VLOOKUP('Stage 2'!$E$12,Lookups!$C$384:$D$385,2,FALSE)&amp;"|"&amp;VLOOKUP('Stage 2'!$E$11,Lookups!$C$343:$E$365,3,FALSE)&amp;"|"&amp;VLOOKUP($E$10,Lookups!$C$375:$D$380,2,FALSE),Lookups!$H$52:$J$339,3,FALSE),IFERROR($D27*VLOOKUP($C27&amp;"|"&amp;"TRUE"&amp;"|"&amp;VLOOKUP('Stage 2'!$E$11,Lookups!$C$343:$E$365,3,FALSE)&amp;"|"&amp;VLOOKUP($E$10,Lookups!$C$375:$D$380,2,FALSE),Lookups!$H$52:$J$339,3,FALSE),$D27*VLOOKUP($C27&amp;"|"&amp;VLOOKUP('Stage 2'!$E$12,Lookups!$C$384:$D$385,2,FALSE)&amp;"|"&amp;VLOOKUP('Stage 2'!$E$11,Lookups!$C$343:$E$365,3,FALSE)&amp;"|"&amp;"DrainedArGr",Lookups!$H$52:$J$339,3,FALSE))),IFERROR($D27*VLOOKUP($C27&amp;"|"&amp;VLOOKUP('Stage 2'!$E$11,Lookups!$C$343:$E$365,3,FALSE),Lookups!$K$52:$M$331,3,FALSE),$D27*VLOOKUP($C27,Lookups!$D$52:$O$331,12,FALSE)))))</f>
        <v/>
      </c>
      <c r="G27" s="156"/>
    </row>
    <row r="28" spans="1:10" x14ac:dyDescent="0.35">
      <c r="A28" s="137"/>
      <c r="B28" s="1"/>
      <c r="C28" s="109"/>
      <c r="D28" s="233"/>
      <c r="E28" s="183" t="str">
        <f>IF(OR(ISBLANK($C28),ISBLANK($D28),ISBLANK($E$10),ISBLANK($E$11)),"",IFERROR($D28*VLOOKUP((IF(OR($C28="Residential urban land",$C28="Commercial/industrial urban land",$C28="Open urban land",$C28="Greenspace",$C28="Community food growing",$C28="Woodland",$C28="Shrub", $C28="Water"), "|||"&amp;$C28, (VLOOKUP('Stage 2'!$E$9,Lookups!$C$369:$D$370,2,FALSE)&amp;"|"&amp;$C28&amp;"|"&amp;VLOOKUP('Stage 2'!$E$12,Lookups!$C$384:$D$385,2,FALSE)&amp;"|"&amp;VLOOKUP('Stage 2'!$E$11,Lookups!$C$343:$E$365,3,FALSE)&amp;"|"&amp;VLOOKUP($E$10,Lookups!$C$375:$D$380,2,FALSE)))),Lookups!$H$52:$J$339,2,FALSE),
IFERROR(IFERROR($D28*VLOOKUP($C28&amp;"|"&amp;VLOOKUP('Stage 2'!$E$12,Lookups!$C$384:$D$385,2,FALSE)&amp;"|"&amp;VLOOKUP('Stage 2'!$E$11,Lookups!$C$343:$E$365,3,FALSE)&amp;"|"&amp;VLOOKUP($E$10,Lookups!$C$375:$D$380,2,FALSE),Lookups!$H$52:$J$339,2,FALSE),IFERROR($D28*VLOOKUP($C28&amp;"|"&amp;"TRUE"&amp;"|"&amp;VLOOKUP('Stage 2'!$E$11,Lookups!$C$343:$E$365,3,FALSE)&amp;"|"&amp;VLOOKUP($E$10,Lookups!$C$375:$D$380,2,FALSE),Lookups!$H$52:$J$339,2,FALSE),$D28*VLOOKUP($C28&amp;"|"&amp;VLOOKUP('Stage 2'!$E$12,Lookups!$C$384:$D$385,2,FALSE)&amp;"|"&amp;VLOOKUP('Stage 2'!$E$11,Lookups!$C$343:$E$365,3,FALSE)&amp;"|"&amp;"DrainedArGr",Lookups!$H$52:$J$339,2,FALSE))),IFERROR($D28*VLOOKUP($C28&amp;"|"&amp;VLOOKUP('Stage 2'!$E$11,Lookups!$C$343:$E$365,3,FALSE),Lookups!$K$52:$M$331,2,FALSE),$D28*VLOOKUP($C28,Lookups!$D$52:$O$331,11,FALSE)))))</f>
        <v/>
      </c>
      <c r="F28" s="183" t="str">
        <f>IF(OR(ISBLANK($C28),ISBLANK($D28),ISBLANK($E$10),ISBLANK($E$11)),"",IFERROR($D28*VLOOKUP((IF(OR($C28="Residential urban land",$C28="Commercial/industrial urban land",$C28="Open urban land",$C28="Greenspace",$C28="Community food growing",$C28="Woodland",$C28="Shrub", $C28="Water"), "|||"&amp;$C28, (VLOOKUP('Stage 2'!$E$9,Lookups!$C$369:$D$369,2,FALSE)&amp;"|"&amp;$C28&amp;"|"&amp;VLOOKUP('Stage 2'!$E$12,Lookups!$C$384:$D$385,2,FALSE)&amp;"|"&amp;VLOOKUP('Stage 2'!$E$11,Lookups!$C$343:$E$365,3,FALSE)&amp;"|"&amp;VLOOKUP($E$10,Lookups!$C$375:$D$380,2,FALSE)))),Lookups!$H$52:$J$339,3,FALSE),
IFERROR(IFERROR($D28*VLOOKUP($C28&amp;"|"&amp;VLOOKUP('Stage 2'!$E$12,Lookups!$C$384:$D$385,2,FALSE)&amp;"|"&amp;VLOOKUP('Stage 2'!$E$11,Lookups!$C$343:$E$365,3,FALSE)&amp;"|"&amp;VLOOKUP($E$10,Lookups!$C$375:$D$380,2,FALSE),Lookups!$H$52:$J$339,3,FALSE),IFERROR($D28*VLOOKUP($C28&amp;"|"&amp;"TRUE"&amp;"|"&amp;VLOOKUP('Stage 2'!$E$11,Lookups!$C$343:$E$365,3,FALSE)&amp;"|"&amp;VLOOKUP($E$10,Lookups!$C$375:$D$380,2,FALSE),Lookups!$H$52:$J$339,3,FALSE),$D28*VLOOKUP($C28&amp;"|"&amp;VLOOKUP('Stage 2'!$E$12,Lookups!$C$384:$D$385,2,FALSE)&amp;"|"&amp;VLOOKUP('Stage 2'!$E$11,Lookups!$C$343:$E$365,3,FALSE)&amp;"|"&amp;"DrainedArGr",Lookups!$H$52:$J$339,3,FALSE))),IFERROR($D28*VLOOKUP($C28&amp;"|"&amp;VLOOKUP('Stage 2'!$E$11,Lookups!$C$343:$E$365,3,FALSE),Lookups!$K$52:$M$331,3,FALSE),$D28*VLOOKUP($C28,Lookups!$D$52:$O$331,12,FALSE)))))</f>
        <v/>
      </c>
      <c r="G28" s="156"/>
      <c r="I28" s="165"/>
    </row>
    <row r="29" spans="1:10" x14ac:dyDescent="0.35">
      <c r="A29" s="137"/>
      <c r="B29" s="1"/>
      <c r="C29" s="109"/>
      <c r="D29" s="233"/>
      <c r="E29" s="183" t="str">
        <f>IF(OR(ISBLANK($C29),ISBLANK($D29),ISBLANK($E$10),ISBLANK($E$11)),"",IFERROR($D29*VLOOKUP((IF(OR($C29="Residential urban land",$C29="Commercial/industrial urban land",$C29="Open urban land",$C29="Greenspace",$C29="Community food growing",$C29="Woodland",$C29="Shrub", $C29="Water"), "|||"&amp;$C29, (VLOOKUP('Stage 2'!$E$9,Lookups!$C$369:$D$370,2,FALSE)&amp;"|"&amp;$C29&amp;"|"&amp;VLOOKUP('Stage 2'!$E$12,Lookups!$C$384:$D$385,2,FALSE)&amp;"|"&amp;VLOOKUP('Stage 2'!$E$11,Lookups!$C$343:$E$365,3,FALSE)&amp;"|"&amp;VLOOKUP($E$10,Lookups!$C$375:$D$380,2,FALSE)))),Lookups!$H$52:$J$339,2,FALSE),
IFERROR(IFERROR($D29*VLOOKUP($C29&amp;"|"&amp;VLOOKUP('Stage 2'!$E$12,Lookups!$C$384:$D$385,2,FALSE)&amp;"|"&amp;VLOOKUP('Stage 2'!$E$11,Lookups!$C$343:$E$365,3,FALSE)&amp;"|"&amp;VLOOKUP($E$10,Lookups!$C$375:$D$380,2,FALSE),Lookups!$H$52:$J$339,2,FALSE),IFERROR($D29*VLOOKUP($C29&amp;"|"&amp;"TRUE"&amp;"|"&amp;VLOOKUP('Stage 2'!$E$11,Lookups!$C$343:$E$365,3,FALSE)&amp;"|"&amp;VLOOKUP($E$10,Lookups!$C$375:$D$380,2,FALSE),Lookups!$H$52:$J$339,2,FALSE),$D29*VLOOKUP($C29&amp;"|"&amp;VLOOKUP('Stage 2'!$E$12,Lookups!$C$384:$D$385,2,FALSE)&amp;"|"&amp;VLOOKUP('Stage 2'!$E$11,Lookups!$C$343:$E$365,3,FALSE)&amp;"|"&amp;"DrainedArGr",Lookups!$H$52:$J$339,2,FALSE))),IFERROR($D29*VLOOKUP($C29&amp;"|"&amp;VLOOKUP('Stage 2'!$E$11,Lookups!$C$343:$E$365,3,FALSE),Lookups!$K$52:$M$331,2,FALSE),$D29*VLOOKUP($C29,Lookups!$D$52:$O$331,11,FALSE)))))</f>
        <v/>
      </c>
      <c r="F29" s="183" t="str">
        <f>IF(OR(ISBLANK($C29),ISBLANK($D29),ISBLANK($E$10),ISBLANK($E$11)),"",IFERROR($D29*VLOOKUP((IF(OR($C29="Residential urban land",$C29="Commercial/industrial urban land",$C29="Open urban land",$C29="Greenspace",$C29="Community food growing",$C29="Woodland",$C29="Shrub", $C29="Water"), "|||"&amp;$C29, (VLOOKUP('Stage 2'!$E$9,Lookups!$C$369:$D$369,2,FALSE)&amp;"|"&amp;$C29&amp;"|"&amp;VLOOKUP('Stage 2'!$E$12,Lookups!$C$384:$D$385,2,FALSE)&amp;"|"&amp;VLOOKUP('Stage 2'!$E$11,Lookups!$C$343:$E$365,3,FALSE)&amp;"|"&amp;VLOOKUP($E$10,Lookups!$C$375:$D$380,2,FALSE)))),Lookups!$H$52:$J$339,3,FALSE),
IFERROR(IFERROR($D29*VLOOKUP($C29&amp;"|"&amp;VLOOKUP('Stage 2'!$E$12,Lookups!$C$384:$D$385,2,FALSE)&amp;"|"&amp;VLOOKUP('Stage 2'!$E$11,Lookups!$C$343:$E$365,3,FALSE)&amp;"|"&amp;VLOOKUP($E$10,Lookups!$C$375:$D$380,2,FALSE),Lookups!$H$52:$J$339,3,FALSE),IFERROR($D29*VLOOKUP($C29&amp;"|"&amp;"TRUE"&amp;"|"&amp;VLOOKUP('Stage 2'!$E$11,Lookups!$C$343:$E$365,3,FALSE)&amp;"|"&amp;VLOOKUP($E$10,Lookups!$C$375:$D$380,2,FALSE),Lookups!$H$52:$J$339,3,FALSE),$D29*VLOOKUP($C29&amp;"|"&amp;VLOOKUP('Stage 2'!$E$12,Lookups!$C$384:$D$385,2,FALSE)&amp;"|"&amp;VLOOKUP('Stage 2'!$E$11,Lookups!$C$343:$E$365,3,FALSE)&amp;"|"&amp;"DrainedArGr",Lookups!$H$52:$J$339,3,FALSE))),IFERROR($D29*VLOOKUP($C29&amp;"|"&amp;VLOOKUP('Stage 2'!$E$11,Lookups!$C$343:$E$365,3,FALSE),Lookups!$K$52:$M$331,3,FALSE),$D29*VLOOKUP($C29,Lookups!$D$52:$O$331,12,FALSE)))))</f>
        <v/>
      </c>
      <c r="G29" s="156"/>
    </row>
    <row r="30" spans="1:10" x14ac:dyDescent="0.35">
      <c r="A30" s="137"/>
      <c r="B30" s="1"/>
      <c r="C30" s="109"/>
      <c r="D30" s="233"/>
      <c r="E30" s="183" t="str">
        <f>IF(OR(ISBLANK($C30),ISBLANK($D30),ISBLANK($E$10),ISBLANK($E$11)),"",IFERROR($D30*VLOOKUP((IF(OR($C30="Residential urban land",$C30="Commercial/industrial urban land",$C30="Open urban land",$C30="Greenspace",$C30="Community food growing",$C30="Woodland",$C30="Shrub", $C30="Water"), "|||"&amp;$C30, (VLOOKUP('Stage 2'!$E$9,Lookups!$C$369:$D$370,2,FALSE)&amp;"|"&amp;$C30&amp;"|"&amp;VLOOKUP('Stage 2'!$E$12,Lookups!$C$384:$D$385,2,FALSE)&amp;"|"&amp;VLOOKUP('Stage 2'!$E$11,Lookups!$C$343:$E$365,3,FALSE)&amp;"|"&amp;VLOOKUP($E$10,Lookups!$C$375:$D$380,2,FALSE)))),Lookups!$H$52:$J$339,2,FALSE),
IFERROR(IFERROR($D30*VLOOKUP($C30&amp;"|"&amp;VLOOKUP('Stage 2'!$E$12,Lookups!$C$384:$D$385,2,FALSE)&amp;"|"&amp;VLOOKUP('Stage 2'!$E$11,Lookups!$C$343:$E$365,3,FALSE)&amp;"|"&amp;VLOOKUP($E$10,Lookups!$C$375:$D$380,2,FALSE),Lookups!$H$52:$J$339,2,FALSE),IFERROR($D30*VLOOKUP($C30&amp;"|"&amp;"TRUE"&amp;"|"&amp;VLOOKUP('Stage 2'!$E$11,Lookups!$C$343:$E$365,3,FALSE)&amp;"|"&amp;VLOOKUP($E$10,Lookups!$C$375:$D$380,2,FALSE),Lookups!$H$52:$J$339,2,FALSE),$D30*VLOOKUP($C30&amp;"|"&amp;VLOOKUP('Stage 2'!$E$12,Lookups!$C$384:$D$385,2,FALSE)&amp;"|"&amp;VLOOKUP('Stage 2'!$E$11,Lookups!$C$343:$E$365,3,FALSE)&amp;"|"&amp;"DrainedArGr",Lookups!$H$52:$J$339,2,FALSE))),IFERROR($D30*VLOOKUP($C30&amp;"|"&amp;VLOOKUP('Stage 2'!$E$11,Lookups!$C$343:$E$365,3,FALSE),Lookups!$K$52:$M$331,2,FALSE),$D30*VLOOKUP($C30,Lookups!$D$52:$O$331,11,FALSE)))))</f>
        <v/>
      </c>
      <c r="F30" s="183" t="str">
        <f>IF(OR(ISBLANK($C30),ISBLANK($D30),ISBLANK($E$10),ISBLANK($E$11)),"",IFERROR($D30*VLOOKUP((IF(OR($C30="Residential urban land",$C30="Commercial/industrial urban land",$C30="Open urban land",$C30="Greenspace",$C30="Community food growing",$C30="Woodland",$C30="Shrub", $C30="Water"), "|||"&amp;$C30, (VLOOKUP('Stage 2'!$E$9,Lookups!$C$369:$D$369,2,FALSE)&amp;"|"&amp;$C30&amp;"|"&amp;VLOOKUP('Stage 2'!$E$12,Lookups!$C$384:$D$385,2,FALSE)&amp;"|"&amp;VLOOKUP('Stage 2'!$E$11,Lookups!$C$343:$E$365,3,FALSE)&amp;"|"&amp;VLOOKUP($E$10,Lookups!$C$375:$D$380,2,FALSE)))),Lookups!$H$52:$J$339,3,FALSE),
IFERROR(IFERROR($D30*VLOOKUP($C30&amp;"|"&amp;VLOOKUP('Stage 2'!$E$12,Lookups!$C$384:$D$385,2,FALSE)&amp;"|"&amp;VLOOKUP('Stage 2'!$E$11,Lookups!$C$343:$E$365,3,FALSE)&amp;"|"&amp;VLOOKUP($E$10,Lookups!$C$375:$D$380,2,FALSE),Lookups!$H$52:$J$339,3,FALSE),IFERROR($D30*VLOOKUP($C30&amp;"|"&amp;"TRUE"&amp;"|"&amp;VLOOKUP('Stage 2'!$E$11,Lookups!$C$343:$E$365,3,FALSE)&amp;"|"&amp;VLOOKUP($E$10,Lookups!$C$375:$D$380,2,FALSE),Lookups!$H$52:$J$339,3,FALSE),$D30*VLOOKUP($C30&amp;"|"&amp;VLOOKUP('Stage 2'!$E$12,Lookups!$C$384:$D$385,2,FALSE)&amp;"|"&amp;VLOOKUP('Stage 2'!$E$11,Lookups!$C$343:$E$365,3,FALSE)&amp;"|"&amp;"DrainedArGr",Lookups!$H$52:$J$339,3,FALSE))),IFERROR($D30*VLOOKUP($C30&amp;"|"&amp;VLOOKUP('Stage 2'!$E$11,Lookups!$C$343:$E$365,3,FALSE),Lookups!$K$52:$M$331,3,FALSE),$D30*VLOOKUP($C30,Lookups!$D$52:$O$331,12,FALSE)))))</f>
        <v/>
      </c>
      <c r="G30" s="156"/>
    </row>
    <row r="31" spans="1:10" ht="15" thickBot="1" x14ac:dyDescent="0.4">
      <c r="A31" s="137"/>
      <c r="B31" s="1"/>
      <c r="C31" s="109"/>
      <c r="D31" s="110"/>
      <c r="E31" s="118" t="str">
        <f>IF(OR(ISBLANK($C31),ISBLANK($D31),ISBLANK($E$10),ISBLANK($E$11)),"",IFERROR($D31*VLOOKUP((IF(OR($C31="Residential urban land",$C31="Commercial/industrial urban land",$C31="Open urban land",$C31="Greenspace",$C31="Community food growing",$C31="Woodland",$C31="Shrub", $C31="Water"), "|||"&amp;$C31, (VLOOKUP('Stage 2'!$E$9,Lookups!$C$369:$D$370,2,FALSE)&amp;"|"&amp;$C31&amp;"|"&amp;VLOOKUP('Stage 2'!$E$12,Lookups!$C$384:$D$385,2,FALSE)&amp;"|"&amp;VLOOKUP('Stage 2'!$E$11,Lookups!$C$343:$E$365,3,FALSE)&amp;"|"&amp;VLOOKUP($E$10,Lookups!$C$375:$D$380,2,FALSE)))),Lookups!$H$52:$J$339,2,FALSE),
IFERROR(IFERROR($D31*VLOOKUP($C31&amp;"|"&amp;VLOOKUP('Stage 2'!$E$12,Lookups!$C$384:$D$385,2,FALSE)&amp;"|"&amp;VLOOKUP('Stage 2'!$E$11,Lookups!$C$343:$E$365,3,FALSE)&amp;"|"&amp;VLOOKUP($E$10,Lookups!$C$375:$D$380,2,FALSE),Lookups!$H$52:$J$339,2,FALSE),IFERROR($D31*VLOOKUP($C31&amp;"|"&amp;"TRUE"&amp;"|"&amp;VLOOKUP('Stage 2'!$E$11,Lookups!$C$343:$E$365,3,FALSE)&amp;"|"&amp;VLOOKUP($E$10,Lookups!$C$375:$D$380,2,FALSE),Lookups!$H$52:$J$339,2,FALSE),$D31*VLOOKUP($C31&amp;"|"&amp;VLOOKUP('Stage 2'!$E$12,Lookups!$C$384:$D$385,2,FALSE)&amp;"|"&amp;VLOOKUP('Stage 2'!$E$11,Lookups!$C$343:$E$365,3,FALSE)&amp;"|"&amp;"DrainedArGr",Lookups!$H$52:$J$339,2,FALSE))),IFERROR($D31*VLOOKUP($C31&amp;"|"&amp;VLOOKUP('Stage 2'!$E$11,Lookups!$C$343:$E$365,3,FALSE),Lookups!$K$52:$M$331,2,FALSE),$D31*VLOOKUP($C31,Lookups!$D$52:$O$331,11,FALSE)))))</f>
        <v/>
      </c>
      <c r="F31" s="118" t="str">
        <f>IF(OR(ISBLANK($C31),ISBLANK($D31),ISBLANK($E$10),ISBLANK($E$11)),"",IFERROR($D31*VLOOKUP((IF(OR($C31="Residential urban land",$C31="Commercial/industrial urban land",$C31="Open urban land",$C31="Greenspace",$C31="Community food growing",$C31="Woodland",$C31="Shrub", $C31="Water"), "|||"&amp;$C31, (VLOOKUP('Stage 2'!$E$9,Lookups!$C$369:$D$369,2,FALSE)&amp;"|"&amp;$C31&amp;"|"&amp;VLOOKUP('Stage 2'!$E$12,Lookups!$C$384:$D$385,2,FALSE)&amp;"|"&amp;VLOOKUP('Stage 2'!$E$11,Lookups!$C$343:$E$365,3,FALSE)&amp;"|"&amp;VLOOKUP($E$10,Lookups!$C$375:$D$380,2,FALSE)))),Lookups!$H$52:$J$339,3,FALSE),
IFERROR(IFERROR($D31*VLOOKUP($C31&amp;"|"&amp;VLOOKUP('Stage 2'!$E$12,Lookups!$C$384:$D$385,2,FALSE)&amp;"|"&amp;VLOOKUP('Stage 2'!$E$11,Lookups!$C$343:$E$365,3,FALSE)&amp;"|"&amp;VLOOKUP($E$10,Lookups!$C$375:$D$380,2,FALSE),Lookups!$H$52:$J$339,3,FALSE),IFERROR($D31*VLOOKUP($C31&amp;"|"&amp;"TRUE"&amp;"|"&amp;VLOOKUP('Stage 2'!$E$11,Lookups!$C$343:$E$365,3,FALSE)&amp;"|"&amp;VLOOKUP($E$10,Lookups!$C$375:$D$380,2,FALSE),Lookups!$H$52:$J$339,3,FALSE),$D31*VLOOKUP($C31&amp;"|"&amp;VLOOKUP('Stage 2'!$E$12,Lookups!$C$384:$D$385,2,FALSE)&amp;"|"&amp;VLOOKUP('Stage 2'!$E$11,Lookups!$C$343:$E$365,3,FALSE)&amp;"|"&amp;"DrainedArGr",Lookups!$H$52:$J$339,3,FALSE))),IFERROR($D31*VLOOKUP($C31&amp;"|"&amp;VLOOKUP('Stage 2'!$E$11,Lookups!$C$343:$E$365,3,FALSE),Lookups!$K$52:$M$331,3,FALSE),$D31*VLOOKUP($C31,Lookups!$D$52:$O$331,12,FALSE)))))</f>
        <v/>
      </c>
      <c r="G31" s="156"/>
    </row>
    <row r="32" spans="1:10" x14ac:dyDescent="0.35">
      <c r="A32" s="137"/>
      <c r="B32" s="1"/>
      <c r="C32" s="77" t="s">
        <v>83</v>
      </c>
      <c r="D32" s="103">
        <f>SUM(D15:D31)</f>
        <v>0</v>
      </c>
      <c r="E32" s="182">
        <f>SUM(E15:E31)</f>
        <v>0</v>
      </c>
      <c r="F32" s="193">
        <f>SUM(F15:F31)</f>
        <v>0</v>
      </c>
      <c r="G32" s="121"/>
    </row>
    <row r="33" spans="1:7" ht="15" thickBot="1" x14ac:dyDescent="0.4">
      <c r="A33" s="137"/>
      <c r="B33" s="148"/>
      <c r="C33" s="134"/>
      <c r="D33" s="134"/>
      <c r="E33" s="134"/>
      <c r="F33" s="134"/>
      <c r="G33" s="135"/>
    </row>
    <row r="34" spans="1:7" ht="15" thickTop="1" x14ac:dyDescent="0.35"/>
  </sheetData>
  <sheetProtection algorithmName="SHA-512" hashValue="APfSSK4qoDnjpS7uDAouCNBPoa9qL014Yvt4HECVWciFiDuJN8nuKpIta98kg59ajQ3SuKJabIGzXMb81cExzw==" saltValue="EUzJt++44QoAxsrCpI28mA==" spinCount="100000" sheet="1" selectLockedCells="1"/>
  <protectedRanges>
    <protectedRange algorithmName="SHA-512" hashValue="6MaqfLmjxE2CMsYMEtptASTKbC7XykMYNd+AlVy+V2v/64BykwcwkRmAkImBIYM0n+Am+TaTWEeHGgFZHNJWgA==" saltValue="1lVOneDC33VcvqS0774YtQ==" spinCount="100000" sqref="E9:E12 C15:D31" name="Range1"/>
  </protectedRanges>
  <mergeCells count="6">
    <mergeCell ref="C12:D12"/>
    <mergeCell ref="C9:D9"/>
    <mergeCell ref="C10:D10"/>
    <mergeCell ref="C11:D11"/>
    <mergeCell ref="B3:G5"/>
    <mergeCell ref="C7:F7"/>
  </mergeCells>
  <dataValidations xWindow="467" yWindow="486" count="1">
    <dataValidation allowBlank="1" showInputMessage="1" showErrorMessage="1" prompt="Please enter area in hectares." sqref="D15:D31"/>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467" yWindow="486" count="5">
        <x14:dataValidation type="list" operator="greaterThan" allowBlank="1" showInputMessage="1" showErrorMessage="1" errorTitle="Catchment Error" error="Please enter your catchment." prompt="Please enter the Operational Catchment that the development site is within. If unsure Please see the instructions page (Section 3.1) for guidance on how to determine this.">
          <x14:formula1>
            <xm:f>Lookups!$D$369:$D$370</xm:f>
          </x14:formula1>
          <xm:sqref>E9</xm:sqref>
        </x14:dataValidation>
        <x14:dataValidation type="list" allowBlank="1" showInputMessage="1" showErrorMessage="1" errorTitle="Rainfall" error="Rainfall must be entered from the drop down list." prompt="Please enter the annual average rainfall for the development site. If unsure please see the instructions page (Section 3.3) for guidance on how to determine this. If the rainfall volume is not on the list, please select the nearest value.">
          <x14:formula1>
            <xm:f>Lookups!$C$347:$C$358</xm:f>
          </x14:formula1>
          <xm:sqref>E11</xm:sqref>
        </x14:dataValidation>
        <x14:dataValidation type="list" showInputMessage="1" showErrorMessage="1" errorTitle="NVZ" error="Please select whether development area is within an NVZ." prompt="Please select whether the development area is within an NVZ. If unsure please see the instructions page (Section 3.4) for guidance on how to determine this. ">
          <x14:formula1>
            <xm:f>Lookups!$C$384:$C$385</xm:f>
          </x14:formula1>
          <xm:sqref>E12</xm:sqref>
        </x14:dataValidation>
        <x14:dataValidation type="list" operator="greaterThan" allowBlank="1" showInputMessage="1" showErrorMessage="1" errorTitle="Soil drainage type" error="Pleas enter the soil drainage type for the development site." prompt="Please enter the soil drainage type for the development site. If unsure please see the instructions page (Section 3.2) for guidance on how to determine this.">
          <x14:formula1>
            <xm:f>Lookups!$C$375:$C$380</xm:f>
          </x14:formula1>
          <xm:sqref>E10</xm:sqref>
        </x14:dataValidation>
        <x14:dataValidation type="list" allowBlank="1" showInputMessage="1" showErrorMessage="1" errorTitle="Landcover" error="Please select all pre exisitng landcover types." prompt="Select exisiting (pre-development) land use types from the drop down list.">
          <x14:formula1>
            <xm:f>Lookups!$I$369:$I$385</xm:f>
          </x14:formula1>
          <xm:sqref>C15:C31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9"/>
  <sheetViews>
    <sheetView showGridLines="0" showRowColHeaders="0" topLeftCell="B1" zoomScaleNormal="100" workbookViewId="0">
      <selection activeCell="C10" sqref="C10"/>
    </sheetView>
  </sheetViews>
  <sheetFormatPr defaultColWidth="9.26953125" defaultRowHeight="14.5" x14ac:dyDescent="0.35"/>
  <cols>
    <col min="1" max="1" width="9.26953125" style="136"/>
    <col min="2" max="2" width="4.7265625" style="136" customWidth="1"/>
    <col min="3" max="3" width="32" style="136" customWidth="1"/>
    <col min="4" max="4" width="12.453125" style="136" customWidth="1"/>
    <col min="5" max="5" width="19.54296875" style="136" customWidth="1"/>
    <col min="6" max="6" width="18.7265625" style="136" hidden="1" customWidth="1"/>
    <col min="7" max="7" width="4.54296875" style="136" customWidth="1"/>
    <col min="8" max="16384" width="9.26953125" style="136"/>
  </cols>
  <sheetData>
    <row r="3" spans="1:9" x14ac:dyDescent="0.35">
      <c r="A3" s="137"/>
      <c r="B3" s="273" t="s">
        <v>200</v>
      </c>
      <c r="C3" s="282"/>
      <c r="D3" s="282"/>
      <c r="E3" s="282"/>
      <c r="F3" s="282"/>
      <c r="G3" s="275"/>
    </row>
    <row r="4" spans="1:9" x14ac:dyDescent="0.35">
      <c r="A4" s="137"/>
      <c r="B4" s="273"/>
      <c r="C4" s="282"/>
      <c r="D4" s="282"/>
      <c r="E4" s="282"/>
      <c r="F4" s="282"/>
      <c r="G4" s="275"/>
    </row>
    <row r="5" spans="1:9" x14ac:dyDescent="0.35">
      <c r="A5" s="137"/>
      <c r="B5" s="273"/>
      <c r="C5" s="282"/>
      <c r="D5" s="282"/>
      <c r="E5" s="282"/>
      <c r="F5" s="282"/>
      <c r="G5" s="275"/>
    </row>
    <row r="6" spans="1:9" ht="16.5" x14ac:dyDescent="0.35">
      <c r="A6" s="137"/>
      <c r="B6" s="4"/>
      <c r="C6" s="1"/>
      <c r="D6" s="1"/>
      <c r="E6" s="1"/>
      <c r="F6" s="1"/>
      <c r="G6" s="146"/>
    </row>
    <row r="7" spans="1:9" ht="18" customHeight="1" x14ac:dyDescent="0.35">
      <c r="A7" s="137"/>
      <c r="B7" s="4"/>
      <c r="C7" s="278" t="s">
        <v>195</v>
      </c>
      <c r="D7" s="278"/>
      <c r="E7" s="278"/>
      <c r="F7" s="278"/>
      <c r="G7" s="145"/>
    </row>
    <row r="8" spans="1:9" x14ac:dyDescent="0.35">
      <c r="A8" s="137"/>
      <c r="B8" s="1"/>
      <c r="C8" s="1"/>
      <c r="D8" s="1"/>
      <c r="E8" s="1"/>
      <c r="F8" s="1"/>
      <c r="G8" s="121"/>
    </row>
    <row r="9" spans="1:9" ht="68.25" customHeight="1" thickBot="1" x14ac:dyDescent="0.4">
      <c r="A9" s="137"/>
      <c r="B9" s="1"/>
      <c r="C9" s="78" t="s">
        <v>143</v>
      </c>
      <c r="D9" s="78" t="s">
        <v>97</v>
      </c>
      <c r="E9" s="192" t="s">
        <v>197</v>
      </c>
      <c r="F9" s="76" t="s">
        <v>204</v>
      </c>
      <c r="G9" s="121"/>
    </row>
    <row r="10" spans="1:9" x14ac:dyDescent="0.35">
      <c r="A10" s="137"/>
      <c r="B10" s="1"/>
      <c r="C10" s="109"/>
      <c r="D10" s="184"/>
      <c r="E10" s="183" t="str">
        <f>IF(OR(ISBLANK(C10),ISBLANK(D10)),"",D10*VLOOKUP((IF(OR(C10="Residential urban land",C10="Commercial/industrial urban land",C10="Open urban land",C10="Greenspace",C10="Community food growing",C10="Woodland",C10="Shrub", C10="Water"), "|||"&amp;C10, (VLOOKUP('Stage 2'!$E$9,Lookups!$C$369:$D$370,2,FALSE)&amp;"|"&amp;C10&amp;"|"&amp;VLOOKUP('Stage 2'!$E$12,Lookups!$C$384:$D$385,2,FALSE)&amp;"|"&amp;VLOOKUP('Stage 2'!$E$11,Lookups!$C$343:$E$365,3,FALSE)&amp;"|"&amp;VLOOKUP('Stage 2'!$E$10,Lookups!$C$375:$E$380,2,FALSE)))),Lookups!$H$52:$J$339,2,FALSE))</f>
        <v/>
      </c>
      <c r="F10" s="79" t="str">
        <f>IF(OR(ISBLANK(C10),ISBLANK(D10)),"",D10*VLOOKUP((IF(OR(C10="Residential urban land",C10="Commercial/industrial urban land",C10="Open urban land",C10="Greenspace",C10="Community food growing",C10="Woodland",C10="Shrub", C10="Water"), "|||"&amp;C10, (VLOOKUP('Stage 2'!$E$9,Lookups!$C$369:$D$369,2,FALSE)&amp;"|"&amp;C10&amp;"|"&amp;VLOOKUP('Stage 2'!$E$12,Lookups!$C$384:$D$385,2,FALSE)&amp;"|"&amp;VLOOKUP('Stage 2'!$E$11,Lookups!$C$343:$E$365,3,FALSE)&amp;"|"&amp;VLOOKUP('Stage 2'!$E$10,Lookups!#REF!,2,FALSE)))),Lookups!$H$52:$J$339,3,FALSE))</f>
        <v/>
      </c>
      <c r="G10" s="121"/>
    </row>
    <row r="11" spans="1:9" x14ac:dyDescent="0.35">
      <c r="A11" s="137"/>
      <c r="B11" s="1"/>
      <c r="C11" s="109"/>
      <c r="D11" s="235"/>
      <c r="E11" s="183" t="str">
        <f>IF(OR(ISBLANK(C11),ISBLANK(D11)),"",D11*VLOOKUP((IF(OR(C11="Residential urban land",C11="Commercial/industrial urban land",C11="Open urban land",C11="Greenspace",C11="Community food growing",C11="Woodland",C11="Shrub", C11="Water"), "|||"&amp;C11, (VLOOKUP('Stage 2'!$E$9,Lookups!$C$369:$D$370,2,FALSE)&amp;"|"&amp;C11&amp;"|"&amp;VLOOKUP('Stage 2'!$E$12,Lookups!$C$384:$D$385,2,FALSE)&amp;"|"&amp;VLOOKUP('Stage 2'!$E$11,Lookups!$C$343:$E$365,3,FALSE)&amp;"|"&amp;VLOOKUP('Stage 2'!$E$10,Lookups!$C$375:$E$380,2,FALSE)))),Lookups!$H$52:$J$339,2,FALSE))</f>
        <v/>
      </c>
      <c r="F11" s="79" t="str">
        <f>IF(OR(ISBLANK(C11),ISBLANK(D11)),"",D11*VLOOKUP((IF(OR(C11="Residential urban land",C11="Commercial/industrial urban land",C11="Open urban land",C11="Greenspace",C11="Community food growing",C11="Woodland",C11="Shrub", C11="Water"), "|||"&amp;C11, (VLOOKUP('Stage 2'!$E$9,Lookups!$C$369:$D$369,2,FALSE)&amp;"|"&amp;C11&amp;"|"&amp;VLOOKUP('Stage 2'!$E$12,Lookups!$C$384:$D$385,2,FALSE)&amp;"|"&amp;VLOOKUP('Stage 2'!$E$11,Lookups!$C$343:$E$365,3,FALSE)&amp;"|"&amp;VLOOKUP('Stage 2'!$E$10,Lookups!#REF!,2,FALSE)))),Lookups!$H$52:$J$339,3,FALSE))</f>
        <v/>
      </c>
      <c r="G11" s="121"/>
    </row>
    <row r="12" spans="1:9" x14ac:dyDescent="0.35">
      <c r="A12" s="137"/>
      <c r="B12" s="1"/>
      <c r="C12" s="109"/>
      <c r="D12" s="235"/>
      <c r="E12" s="183" t="str">
        <f>IF(OR(ISBLANK(C12),ISBLANK(D12)),"",D12*VLOOKUP((IF(OR(C12="Residential urban land",C12="Commercial/industrial urban land",C12="Open urban land",C12="Greenspace",C12="Community food growing",C12="Woodland",C12="Shrub", C12="Water"), "|||"&amp;C12, (VLOOKUP('Stage 2'!$E$9,Lookups!$C$369:$D$370,2,FALSE)&amp;"|"&amp;C12&amp;"|"&amp;VLOOKUP('Stage 2'!$E$12,Lookups!$C$384:$D$385,2,FALSE)&amp;"|"&amp;VLOOKUP('Stage 2'!$E$11,Lookups!$C$343:$E$365,3,FALSE)&amp;"|"&amp;VLOOKUP('Stage 2'!$E$10,Lookups!$C$375:$E$380,2,FALSE)))),Lookups!$H$52:$J$339,2,FALSE))</f>
        <v/>
      </c>
      <c r="F12" s="79" t="str">
        <f>IF(OR(ISBLANK(C12),ISBLANK(D12)),"",D12*VLOOKUP((IF(OR(C12="Residential urban land",C12="Commercial/industrial urban land",C12="Open urban land",C12="Greenspace",C12="Community food growing",C12="Woodland",C12="Shrub", C12="Water"), "|||"&amp;C12, (VLOOKUP('Stage 2'!$E$9,Lookups!$C$369:$D$369,2,FALSE)&amp;"|"&amp;C12&amp;"|"&amp;VLOOKUP('Stage 2'!$E$12,Lookups!$C$384:$D$385,2,FALSE)&amp;"|"&amp;VLOOKUP('Stage 2'!$E$11,Lookups!$C$343:$E$365,3,FALSE)&amp;"|"&amp;VLOOKUP('Stage 2'!$E$10,Lookups!#REF!,2,FALSE)))),Lookups!$H$52:$J$339,3,FALSE))</f>
        <v/>
      </c>
      <c r="G12" s="121"/>
    </row>
    <row r="13" spans="1:9" x14ac:dyDescent="0.35">
      <c r="A13" s="137"/>
      <c r="B13" s="1"/>
      <c r="C13" s="109"/>
      <c r="D13" s="235"/>
      <c r="E13" s="183" t="str">
        <f>IF(OR(ISBLANK(C13),ISBLANK(D13)),"",D13*VLOOKUP((IF(OR(C13="Residential urban land",C13="Commercial/industrial urban land",C13="Open urban land",C13="Greenspace",C13="Community food growing",C13="Woodland",C13="Shrub", C13="Water"), "|||"&amp;C13, (VLOOKUP('Stage 2'!$E$9,Lookups!$C$369:$D$370,2,FALSE)&amp;"|"&amp;C13&amp;"|"&amp;VLOOKUP('Stage 2'!$E$12,Lookups!$C$384:$D$385,2,FALSE)&amp;"|"&amp;VLOOKUP('Stage 2'!$E$11,Lookups!$C$343:$E$365,3,FALSE)&amp;"|"&amp;VLOOKUP('Stage 2'!$E$10,Lookups!$C$375:$E$380,2,FALSE)))),Lookups!$H$52:$J$339,2,FALSE))</f>
        <v/>
      </c>
      <c r="F13" s="79" t="str">
        <f>IF(OR(ISBLANK(C13),ISBLANK(D13)),"",D13*VLOOKUP((IF(OR(C13="Residential urban land",C13="Commercial/industrial urban land",C13="Open urban land",C13="Greenspace",C13="Community food growing",C13="Woodland",C13="Shrub", C13="Water"), "|||"&amp;C13, (VLOOKUP('Stage 2'!$E$9,Lookups!$C$369:$D$369,2,FALSE)&amp;"|"&amp;C13&amp;"|"&amp;VLOOKUP('Stage 2'!$E$12,Lookups!$C$384:$D$385,2,FALSE)&amp;"|"&amp;VLOOKUP('Stage 2'!$E$11,Lookups!$C$343:$E$365,3,FALSE)&amp;"|"&amp;VLOOKUP('Stage 2'!$E$10,Lookups!#REF!,2,FALSE)))),Lookups!$H$52:$J$339,3,FALSE))</f>
        <v/>
      </c>
      <c r="G13" s="121"/>
    </row>
    <row r="14" spans="1:9" x14ac:dyDescent="0.35">
      <c r="A14" s="137"/>
      <c r="B14" s="1"/>
      <c r="C14" s="109"/>
      <c r="D14" s="235"/>
      <c r="E14" s="183" t="str">
        <f>IF(OR(ISBLANK(C14),ISBLANK(D14)),"",D14*VLOOKUP((IF(OR(C14="Residential urban land",C14="Commercial/industrial urban land",C14="Open urban land",C14="Greenspace",C14="Community food growing",C14="Woodland",C14="Shrub", C14="Water"), "|||"&amp;C14, (VLOOKUP('Stage 2'!$E$9,Lookups!$C$369:$D$370,2,FALSE)&amp;"|"&amp;C14&amp;"|"&amp;VLOOKUP('Stage 2'!$E$12,Lookups!$C$384:$D$385,2,FALSE)&amp;"|"&amp;VLOOKUP('Stage 2'!$E$11,Lookups!$C$343:$E$365,3,FALSE)&amp;"|"&amp;VLOOKUP('Stage 2'!$E$10,Lookups!$C$375:$E$380,2,FALSE)))),Lookups!$H$52:$J$339,2,FALSE))</f>
        <v/>
      </c>
      <c r="F14" s="79" t="str">
        <f>IF(OR(ISBLANK(C14),ISBLANK(D14)),"",D14*VLOOKUP((IF(OR(C14="Residential urban land",C14="Commercial/industrial urban land",C14="Open urban land",C14="Greenspace",C14="Community food growing",C14="Woodland",C14="Shrub", C14="Water"), "|||"&amp;C14, (VLOOKUP('Stage 2'!$E$9,Lookups!$C$369:$D$369,2,FALSE)&amp;"|"&amp;C14&amp;"|"&amp;VLOOKUP('Stage 2'!$E$12,Lookups!$C$384:$D$385,2,FALSE)&amp;"|"&amp;VLOOKUP('Stage 2'!$E$11,Lookups!$C$343:$E$365,3,FALSE)&amp;"|"&amp;VLOOKUP('Stage 2'!$E$10,Lookups!#REF!,2,FALSE)))),Lookups!$H$52:$J$339,3,FALSE))</f>
        <v/>
      </c>
      <c r="G14" s="121"/>
    </row>
    <row r="15" spans="1:9" x14ac:dyDescent="0.35">
      <c r="A15" s="137"/>
      <c r="B15" s="1"/>
      <c r="C15" s="109"/>
      <c r="D15" s="235"/>
      <c r="E15" s="183" t="str">
        <f>IF(OR(ISBLANK(C15),ISBLANK(D15)),"",D15*VLOOKUP((IF(OR(C15="Residential urban land",C15="Commercial/industrial urban land",C15="Open urban land",C15="Greenspace",C15="Community food growing",C15="Woodland",C15="Shrub", C15="Water"), "|||"&amp;C15, (VLOOKUP('Stage 2'!$E$9,Lookups!$C$369:$D$370,2,FALSE)&amp;"|"&amp;C15&amp;"|"&amp;VLOOKUP('Stage 2'!$E$12,Lookups!$C$384:$D$385,2,FALSE)&amp;"|"&amp;VLOOKUP('Stage 2'!$E$11,Lookups!$C$343:$E$365,3,FALSE)&amp;"|"&amp;VLOOKUP('Stage 2'!$E$10,Lookups!$C$375:$E$380,2,FALSE)))),Lookups!$H$52:$J$339,2,FALSE))</f>
        <v/>
      </c>
      <c r="F15" s="79" t="str">
        <f>IF(OR(ISBLANK(C15),ISBLANK(D15)),"",D15*VLOOKUP((IF(OR(C15="Residential urban land",C15="Commercial/industrial urban land",C15="Open urban land",C15="Greenspace",C15="Community food growing",C15="Woodland",C15="Shrub", C15="Water"), "|||"&amp;C15, (VLOOKUP('Stage 2'!$E$9,Lookups!$C$369:$D$369,2,FALSE)&amp;"|"&amp;C15&amp;"|"&amp;VLOOKUP('Stage 2'!$E$12,Lookups!$C$384:$D$385,2,FALSE)&amp;"|"&amp;VLOOKUP('Stage 2'!$E$11,Lookups!$C$343:$E$365,3,FALSE)&amp;"|"&amp;VLOOKUP('Stage 2'!$E$10,Lookups!#REF!,2,FALSE)))),Lookups!$H$52:$J$339,3,FALSE))</f>
        <v/>
      </c>
      <c r="G15" s="121"/>
      <c r="I15" s="165"/>
    </row>
    <row r="16" spans="1:9" x14ac:dyDescent="0.35">
      <c r="A16" s="137"/>
      <c r="B16" s="1"/>
      <c r="C16" s="109"/>
      <c r="D16" s="235"/>
      <c r="E16" s="183" t="str">
        <f>IF(OR(ISBLANK(C16),ISBLANK(D16)),"",D16*VLOOKUP((IF(OR(C16="Residential urban land",C16="Commercial/industrial urban land",C16="Open urban land",C16="Greenspace",C16="Community food growing",C16="Woodland",C16="Shrub", C16="Water"), "|||"&amp;C16, (VLOOKUP('Stage 2'!$E$9,Lookups!$C$369:$D$370,2,FALSE)&amp;"|"&amp;C16&amp;"|"&amp;VLOOKUP('Stage 2'!$E$12,Lookups!$C$384:$D$385,2,FALSE)&amp;"|"&amp;VLOOKUP('Stage 2'!$E$11,Lookups!$C$343:$E$365,3,FALSE)&amp;"|"&amp;VLOOKUP('Stage 2'!$E$10,Lookups!$C$375:$E$380,2,FALSE)))),Lookups!$H$52:$J$339,2,FALSE))</f>
        <v/>
      </c>
      <c r="F16" s="79" t="str">
        <f>IF(OR(ISBLANK(C16),ISBLANK(D16)),"",D16*VLOOKUP((IF(OR(C16="Residential urban land",C16="Commercial/industrial urban land",C16="Open urban land",C16="Greenspace",C16="Community food growing",C16="Woodland",C16="Shrub", C16="Water"), "|||"&amp;C16, (VLOOKUP('Stage 2'!$E$9,Lookups!$C$369:$D$369,2,FALSE)&amp;"|"&amp;C16&amp;"|"&amp;VLOOKUP('Stage 2'!$E$12,Lookups!$C$384:$D$385,2,FALSE)&amp;"|"&amp;VLOOKUP('Stage 2'!$E$11,Lookups!$C$343:$E$365,3,FALSE)&amp;"|"&amp;VLOOKUP('Stage 2'!$E$10,Lookups!#REF!,2,FALSE)))),Lookups!$H$52:$J$339,3,FALSE))</f>
        <v/>
      </c>
      <c r="G16" s="121"/>
    </row>
    <row r="17" spans="1:11" x14ac:dyDescent="0.35">
      <c r="A17" s="137"/>
      <c r="B17" s="1"/>
      <c r="C17" s="109"/>
      <c r="D17" s="235"/>
      <c r="E17" s="183" t="str">
        <f>IF(OR(ISBLANK(C17),ISBLANK(D17)),"",D17*VLOOKUP((IF(OR(C17="Residential urban land",C17="Commercial/industrial urban land",C17="Open urban land",C17="Greenspace",C17="Community food growing",C17="Woodland",C17="Shrub", C17="Water"), "|||"&amp;C17, (VLOOKUP('Stage 2'!$E$9,Lookups!$C$369:$D$370,2,FALSE)&amp;"|"&amp;C17&amp;"|"&amp;VLOOKUP('Stage 2'!$E$12,Lookups!$C$384:$D$385,2,FALSE)&amp;"|"&amp;VLOOKUP('Stage 2'!$E$11,Lookups!$C$343:$E$365,3,FALSE)&amp;"|"&amp;VLOOKUP('Stage 2'!$E$10,Lookups!$C$375:$E$380,2,FALSE)))),Lookups!$H$52:$J$339,2,FALSE))</f>
        <v/>
      </c>
      <c r="F17" s="79" t="str">
        <f>IF(OR(ISBLANK(C17),ISBLANK(D17)),"",D17*VLOOKUP((IF(OR(C17="Residential urban land",C17="Commercial/industrial urban land",C17="Open urban land",C17="Greenspace",C17="Community food growing",C17="Woodland",C17="Shrub", C17="Water"), "|||"&amp;C17, (VLOOKUP('Stage 2'!$E$9,Lookups!$C$369:$D$369,2,FALSE)&amp;"|"&amp;C17&amp;"|"&amp;VLOOKUP('Stage 2'!$E$12,Lookups!$C$384:$D$385,2,FALSE)&amp;"|"&amp;VLOOKUP('Stage 2'!$E$11,Lookups!$C$343:$E$365,3,FALSE)&amp;"|"&amp;VLOOKUP('Stage 2'!$E$10,Lookups!#REF!,2,FALSE)))),Lookups!$H$52:$J$339,3,FALSE))</f>
        <v/>
      </c>
      <c r="G17" s="121"/>
    </row>
    <row r="18" spans="1:11" x14ac:dyDescent="0.35">
      <c r="A18" s="137"/>
      <c r="B18" s="1"/>
      <c r="C18" s="109"/>
      <c r="D18" s="204"/>
      <c r="E18" s="183" t="str">
        <f>IF(OR(ISBLANK(C18),ISBLANK(D18)),"",D18*VLOOKUP((IF(OR(C18="Residential urban land",C18="Commercial/industrial urban land",C18="Open urban land",C18="Greenspace",C18="Community food growing",C18="Woodland",C18="Shrub", C18="Water"), "|||"&amp;C18, (VLOOKUP('Stage 2'!$E$9,Lookups!$C$369:$D$370,2,FALSE)&amp;"|"&amp;C18&amp;"|"&amp;VLOOKUP('Stage 2'!$E$12,Lookups!$C$384:$D$385,2,FALSE)&amp;"|"&amp;VLOOKUP('Stage 2'!$E$11,Lookups!$C$343:$E$365,3,FALSE)&amp;"|"&amp;VLOOKUP('Stage 2'!$E$10,Lookups!$C$375:$E$380,2,FALSE)))),Lookups!$H$52:$J$339,2,FALSE))</f>
        <v/>
      </c>
      <c r="F18" s="79" t="str">
        <f>IF(OR(ISBLANK(C18),ISBLANK(D18)),"",D18*VLOOKUP((IF(OR(C18="Residential urban land",C18="Commercial/industrial urban land",C18="Open urban land",C18="Greenspace",C18="Community food growing",C18="Woodland",C18="Shrub", C18="Water"), "|||"&amp;C18, (VLOOKUP('Stage 2'!$E$9,Lookups!$C$369:$D$369,2,FALSE)&amp;"|"&amp;C18&amp;"|"&amp;VLOOKUP('Stage 2'!$E$12,Lookups!$C$384:$D$385,2,FALSE)&amp;"|"&amp;VLOOKUP('Stage 2'!$E$11,Lookups!$C$343:$E$365,3,FALSE)&amp;"|"&amp;VLOOKUP('Stage 2'!$E$10,Lookups!#REF!,2,FALSE)))),Lookups!$H$52:$J$339,3,FALSE))</f>
        <v/>
      </c>
      <c r="G18" s="121"/>
    </row>
    <row r="19" spans="1:11" x14ac:dyDescent="0.35">
      <c r="A19" s="137"/>
      <c r="B19" s="1"/>
      <c r="C19" s="109"/>
      <c r="D19" s="204"/>
      <c r="E19" s="183" t="str">
        <f>IF(OR(ISBLANK(C19),ISBLANK(D19)),"",D19*VLOOKUP((IF(OR(C19="Residential urban land",C19="Commercial/industrial urban land",C19="Open urban land",C19="Greenspace",C19="Community food growing",C19="Woodland",C19="Shrub", C19="Water"), "|||"&amp;C19, (VLOOKUP('Stage 2'!$E$9,Lookups!$C$369:$D$370,2,FALSE)&amp;"|"&amp;C19&amp;"|"&amp;VLOOKUP('Stage 2'!$E$12,Lookups!$C$384:$D$385,2,FALSE)&amp;"|"&amp;VLOOKUP('Stage 2'!$E$11,Lookups!$C$343:$E$365,3,FALSE)&amp;"|"&amp;VLOOKUP('Stage 2'!$E$10,Lookups!$C$375:$E$380,2,FALSE)))),Lookups!$H$52:$J$339,2,FALSE))</f>
        <v/>
      </c>
      <c r="F19" s="79" t="str">
        <f>IF(OR(ISBLANK(C19),ISBLANK(D19)),"",D19*VLOOKUP((IF(OR(C19="Residential urban land",C19="Commercial/industrial urban land",C19="Open urban land",C19="Greenspace",C19="Community food growing",C19="Woodland",C19="Shrub", C19="Water"), "|||"&amp;C19, (VLOOKUP('Stage 2'!$E$9,Lookups!$C$369:$D$369,2,FALSE)&amp;"|"&amp;C19&amp;"|"&amp;VLOOKUP('Stage 2'!$E$12,Lookups!$C$384:$D$385,2,FALSE)&amp;"|"&amp;VLOOKUP('Stage 2'!$E$11,Lookups!$C$343:$E$365,3,FALSE)&amp;"|"&amp;VLOOKUP('Stage 2'!$E$10,Lookups!#REF!,2,FALSE)))),Lookups!$H$52:$J$339,3,FALSE))</f>
        <v/>
      </c>
      <c r="G19" s="121"/>
    </row>
    <row r="20" spans="1:11" x14ac:dyDescent="0.35">
      <c r="A20" s="137"/>
      <c r="B20" s="1"/>
      <c r="C20" s="109"/>
      <c r="D20" s="204"/>
      <c r="E20" s="183" t="str">
        <f>IF(OR(ISBLANK(C20),ISBLANK(D20)),"",D20*VLOOKUP((IF(OR(C20="Residential urban land",C20="Commercial/industrial urban land",C20="Open urban land",C20="Greenspace",C20="Community food growing",C20="Woodland",C20="Shrub", C20="Water"), "|||"&amp;C20, (VLOOKUP('Stage 2'!$E$9,Lookups!$C$369:$D$370,2,FALSE)&amp;"|"&amp;C20&amp;"|"&amp;VLOOKUP('Stage 2'!$E$12,Lookups!$C$384:$D$385,2,FALSE)&amp;"|"&amp;VLOOKUP('Stage 2'!$E$11,Lookups!$C$343:$E$365,3,FALSE)&amp;"|"&amp;VLOOKUP('Stage 2'!$E$10,Lookups!$C$375:$E$380,2,FALSE)))),Lookups!$H$52:$J$339,2,FALSE))</f>
        <v/>
      </c>
      <c r="F20" s="79" t="str">
        <f>IF(OR(ISBLANK(C20),ISBLANK(D20)),"",D20*VLOOKUP((IF(OR(C20="Residential urban land",C20="Commercial/industrial urban land",C20="Open urban land",C20="Greenspace",C20="Community food growing",C20="Woodland",C20="Shrub", C20="Water"), "|||"&amp;C20, (VLOOKUP('Stage 2'!$E$9,Lookups!$C$369:$D$369,2,FALSE)&amp;"|"&amp;C20&amp;"|"&amp;VLOOKUP('Stage 2'!$E$12,Lookups!$C$384:$D$385,2,FALSE)&amp;"|"&amp;VLOOKUP('Stage 2'!$E$11,Lookups!$C$343:$E$365,3,FALSE)&amp;"|"&amp;VLOOKUP('Stage 2'!$E$10,Lookups!#REF!,2,FALSE)))),Lookups!$H$52:$J$339,3,FALSE))</f>
        <v/>
      </c>
      <c r="G20" s="121"/>
    </row>
    <row r="21" spans="1:11" x14ac:dyDescent="0.35">
      <c r="A21" s="137"/>
      <c r="B21" s="1"/>
      <c r="C21" s="109"/>
      <c r="D21" s="204"/>
      <c r="E21" s="183" t="str">
        <f>IF(OR(ISBLANK(C21),ISBLANK(D21)),"",D21*VLOOKUP((IF(OR(C21="Residential urban land",C21="Commercial/industrial urban land",C21="Open urban land",C21="Greenspace",C21="Community food growing",C21="Woodland",C21="Shrub", C21="Water"), "|||"&amp;C21, (VLOOKUP('Stage 2'!$E$9,Lookups!$C$369:$D$370,2,FALSE)&amp;"|"&amp;C21&amp;"|"&amp;VLOOKUP('Stage 2'!$E$12,Lookups!$C$384:$D$385,2,FALSE)&amp;"|"&amp;VLOOKUP('Stage 2'!$E$11,Lookups!$C$343:$E$365,3,FALSE)&amp;"|"&amp;VLOOKUP('Stage 2'!$E$10,Lookups!$C$375:$E$380,2,FALSE)))),Lookups!$H$52:$J$339,2,FALSE))</f>
        <v/>
      </c>
      <c r="F21" s="79" t="str">
        <f>IF(OR(ISBLANK(C21),ISBLANK(D21)),"",D21*VLOOKUP((IF(OR(C21="Residential urban land",C21="Commercial/industrial urban land",C21="Open urban land",C21="Greenspace",C21="Community food growing",C21="Woodland",C21="Shrub", C21="Water"), "|||"&amp;C21, (VLOOKUP('Stage 2'!$E$9,Lookups!$C$369:$D$369,2,FALSE)&amp;"|"&amp;C21&amp;"|"&amp;VLOOKUP('Stage 2'!$E$12,Lookups!$C$384:$D$385,2,FALSE)&amp;"|"&amp;VLOOKUP('Stage 2'!$E$11,Lookups!$C$343:$E$365,3,FALSE)&amp;"|"&amp;VLOOKUP('Stage 2'!$E$10,Lookups!#REF!,2,FALSE)))),Lookups!$H$52:$J$339,3,FALSE))</f>
        <v/>
      </c>
      <c r="G21" s="121"/>
      <c r="K21" s="139"/>
    </row>
    <row r="22" spans="1:11" x14ac:dyDescent="0.35">
      <c r="A22" s="137"/>
      <c r="B22" s="1"/>
      <c r="C22" s="109"/>
      <c r="D22" s="204"/>
      <c r="E22" s="183" t="str">
        <f>IF(OR(ISBLANK(C22),ISBLANK(D22)),"",D22*VLOOKUP((IF(OR(C22="Residential urban land",C22="Commercial/industrial urban land",C22="Open urban land",C22="Greenspace",C22="Community food growing",C22="Woodland",C22="Shrub", C22="Water"), "|||"&amp;C22, (VLOOKUP('Stage 2'!$E$9,Lookups!$C$369:$D$370,2,FALSE)&amp;"|"&amp;C22&amp;"|"&amp;VLOOKUP('Stage 2'!$E$12,Lookups!$C$384:$D$385,2,FALSE)&amp;"|"&amp;VLOOKUP('Stage 2'!$E$11,Lookups!$C$343:$E$365,3,FALSE)&amp;"|"&amp;VLOOKUP('Stage 2'!$E$10,Lookups!$C$375:$E$380,2,FALSE)))),Lookups!$H$52:$J$339,2,FALSE))</f>
        <v/>
      </c>
      <c r="F22" s="79" t="str">
        <f>IF(OR(ISBLANK(C22),ISBLANK(D22)),"",D22*VLOOKUP((IF(OR(C22="Residential urban land",C22="Commercial/industrial urban land",C22="Open urban land",C22="Greenspace",C22="Community food growing",C22="Woodland",C22="Shrub", C22="Water"), "|||"&amp;C22, (VLOOKUP('Stage 2'!$E$9,Lookups!$C$369:$D$369,2,FALSE)&amp;"|"&amp;C22&amp;"|"&amp;VLOOKUP('Stage 2'!$E$12,Lookups!$C$384:$D$385,2,FALSE)&amp;"|"&amp;VLOOKUP('Stage 2'!$E$11,Lookups!$C$343:$E$365,3,FALSE)&amp;"|"&amp;VLOOKUP('Stage 2'!$E$10,Lookups!#REF!,2,FALSE)))),Lookups!$H$52:$J$339,3,FALSE))</f>
        <v/>
      </c>
      <c r="G22" s="121"/>
    </row>
    <row r="23" spans="1:11" x14ac:dyDescent="0.35">
      <c r="A23" s="137"/>
      <c r="B23" s="1"/>
      <c r="C23" s="109"/>
      <c r="D23" s="205"/>
      <c r="E23" s="183" t="str">
        <f>IF(OR(ISBLANK(C23),ISBLANK(D23)),"",D23*VLOOKUP((IF(OR(C23="Residential urban land",C23="Commercial/industrial urban land",C23="Open urban land",C23="Greenspace",C23="Community food growing",C23="Woodland",C23="Shrub", C23="Water"), "|||"&amp;C23, (VLOOKUP('Stage 2'!$E$9,Lookups!$C$369:$D$370,2,FALSE)&amp;"|"&amp;C23&amp;"|"&amp;VLOOKUP('Stage 2'!$E$12,Lookups!$C$384:$D$385,2,FALSE)&amp;"|"&amp;VLOOKUP('Stage 2'!$E$11,Lookups!$C$343:$E$365,3,FALSE)&amp;"|"&amp;VLOOKUP('Stage 2'!$E$10,Lookups!$C$375:$E$380,2,FALSE)))),Lookups!$H$52:$J$339,2,FALSE))</f>
        <v/>
      </c>
      <c r="F23" s="79" t="str">
        <f>IF(OR(ISBLANK(C23),ISBLANK(D23)),"",D23*VLOOKUP((IF(OR(C23="Residential urban land",C23="Commercial/industrial urban land",C23="Open urban land",C23="Greenspace",C23="Community food growing",C23="Woodland",C23="Shrub", C23="Water"), "|||"&amp;C23, (VLOOKUP('Stage 2'!$E$9,Lookups!$C$369:$D$369,2,FALSE)&amp;"|"&amp;C23&amp;"|"&amp;VLOOKUP('Stage 2'!$E$12,Lookups!$C$384:$D$385,2,FALSE)&amp;"|"&amp;VLOOKUP('Stage 2'!$E$11,Lookups!$C$343:$E$365,3,FALSE)&amp;"|"&amp;VLOOKUP('Stage 2'!$E$10,Lookups!#REF!,2,FALSE)))),Lookups!$H$52:$J$339,3,FALSE))</f>
        <v/>
      </c>
      <c r="G23" s="121"/>
    </row>
    <row r="24" spans="1:11" x14ac:dyDescent="0.35">
      <c r="A24" s="137"/>
      <c r="B24" s="1"/>
      <c r="C24" s="109"/>
      <c r="D24" s="203"/>
      <c r="E24" s="183" t="str">
        <f>IF(OR(ISBLANK(C24),ISBLANK(D24)),"",D24*VLOOKUP((IF(OR(C24="Residential urban land",C24="Commercial/industrial urban land",C24="Open urban land",C24="Greenspace",C24="Community food growing",C24="Woodland",C24="Shrub", C24="Water"), "|||"&amp;C24, (VLOOKUP('Stage 2'!$E$9,Lookups!$C$369:$D$370,2,FALSE)&amp;"|"&amp;C24&amp;"|"&amp;VLOOKUP('Stage 2'!$E$12,Lookups!$C$384:$D$385,2,FALSE)&amp;"|"&amp;VLOOKUP('Stage 2'!$E$11,Lookups!$C$343:$E$365,3,FALSE)&amp;"|"&amp;VLOOKUP('Stage 2'!$E$10,Lookups!$C$375:$E$380,2,FALSE)))),Lookups!$H$52:$J$339,2,FALSE))</f>
        <v/>
      </c>
      <c r="F24" s="79" t="str">
        <f>IF(OR(ISBLANK(C24),ISBLANK(D24)),"",D24*VLOOKUP((IF(OR(C24="Residential urban land",C24="Commercial/industrial urban land",C24="Open urban land",C24="Greenspace",C24="Community food growing",C24="Woodland",C24="Shrub", C24="Water"), "|||"&amp;C24, (VLOOKUP('Stage 2'!$E$9,Lookups!$C$369:$D$369,2,FALSE)&amp;"|"&amp;C24&amp;"|"&amp;VLOOKUP('Stage 2'!$E$12,Lookups!$C$384:$D$385,2,FALSE)&amp;"|"&amp;VLOOKUP('Stage 2'!$E$11,Lookups!$C$343:$E$365,3,FALSE)&amp;"|"&amp;VLOOKUP('Stage 2'!$E$10,Lookups!#REF!,2,FALSE)))),Lookups!$H$52:$J$339,3,FALSE))</f>
        <v/>
      </c>
      <c r="G24" s="121"/>
    </row>
    <row r="25" spans="1:11" x14ac:dyDescent="0.35">
      <c r="A25" s="137"/>
      <c r="B25" s="1"/>
      <c r="C25" s="109"/>
      <c r="D25" s="203"/>
      <c r="E25" s="183" t="str">
        <f>IF(OR(ISBLANK(C25),ISBLANK(D25)),"",D25*VLOOKUP((IF(OR(C25="Residential urban land",C25="Commercial/industrial urban land",C25="Open urban land",C25="Greenspace",C25="Community food growing",C25="Woodland",C25="Shrub", C25="Water"), "|||"&amp;C25, (VLOOKUP('Stage 2'!$E$9,Lookups!$C$369:$D$370,2,FALSE)&amp;"|"&amp;C25&amp;"|"&amp;VLOOKUP('Stage 2'!$E$12,Lookups!$C$384:$D$385,2,FALSE)&amp;"|"&amp;VLOOKUP('Stage 2'!$E$11,Lookups!$C$343:$E$365,3,FALSE)&amp;"|"&amp;VLOOKUP('Stage 2'!$E$10,Lookups!$C$375:$E$380,2,FALSE)))),Lookups!$H$52:$J$339,2,FALSE))</f>
        <v/>
      </c>
      <c r="F25" s="79" t="str">
        <f>IF(OR(ISBLANK(C25),ISBLANK(D25)),"",D25*VLOOKUP((IF(OR(C25="Residential urban land",C25="Commercial/industrial urban land",C25="Open urban land",C25="Greenspace",C25="Community food growing",C25="Woodland",C25="Shrub", C25="Water"), "|||"&amp;C25, (VLOOKUP('Stage 2'!$E$9,Lookups!$C$369:$D$369,2,FALSE)&amp;"|"&amp;C25&amp;"|"&amp;VLOOKUP('Stage 2'!$E$12,Lookups!$C$384:$D$385,2,FALSE)&amp;"|"&amp;VLOOKUP('Stage 2'!$E$11,Lookups!$C$343:$E$365,3,FALSE)&amp;"|"&amp;VLOOKUP('Stage 2'!$E$10,Lookups!#REF!,2,FALSE)))),Lookups!$H$52:$J$339,3,FALSE))</f>
        <v/>
      </c>
      <c r="G25" s="121"/>
    </row>
    <row r="26" spans="1:11" ht="15" thickBot="1" x14ac:dyDescent="0.4">
      <c r="A26" s="137"/>
      <c r="B26" s="1"/>
      <c r="C26" s="117"/>
      <c r="D26" s="206"/>
      <c r="E26" s="194" t="str">
        <f>IF(OR(ISBLANK(C26),ISBLANK(D26)),"",D26*VLOOKUP((IF(OR(C26="Residential urban land",C26="Commercial/industrial urban land",C26="Open urban land",C26="Greenspace",C26="Community food growing",C26="Woodland",C26="Shrub", C26="Water"), "|||"&amp;C26, (VLOOKUP('Stage 2'!$E$9,Lookups!$C$369:$D$370,2,FALSE)&amp;"|"&amp;C26&amp;"|"&amp;VLOOKUP('Stage 2'!$E$12,Lookups!$C$384:$D$385,2,FALSE)&amp;"|"&amp;VLOOKUP('Stage 2'!$E$11,Lookups!$C$343:$E$365,3,FALSE)&amp;"|"&amp;VLOOKUP('Stage 2'!$E$10,Lookups!$C$375:$E$380,2,FALSE)))),Lookups!$H$52:$J$339,2,FALSE))</f>
        <v/>
      </c>
      <c r="F26" s="80" t="str">
        <f>IF(OR(ISBLANK(C26),ISBLANK(D26)),"",D26*VLOOKUP((IF(OR(C26="Residential urban land",C26="Commercial/industrial urban land",C26="Open urban land",C26="Greenspace",C26="Community food growing",C26="Woodland",C26="Shrub", C26="Water"), "|||"&amp;C26, (VLOOKUP('Stage 2'!$E$9,Lookups!$C$369:$D$369,2,FALSE)&amp;"|"&amp;C26&amp;"|"&amp;VLOOKUP('Stage 2'!$E$12,Lookups!$C$384:$D$385,2,FALSE)&amp;"|"&amp;VLOOKUP('Stage 2'!$E$11,Lookups!$C$343:$E$365,3,FALSE)&amp;"|"&amp;VLOOKUP('Stage 2'!$E$10,Lookups!#REF!,2,FALSE)))),Lookups!$H$52:$J$339,3,FALSE))</f>
        <v/>
      </c>
      <c r="G26" s="121"/>
    </row>
    <row r="27" spans="1:11" x14ac:dyDescent="0.35">
      <c r="A27" s="137"/>
      <c r="B27" s="1"/>
      <c r="C27" s="74" t="s">
        <v>83</v>
      </c>
      <c r="D27" s="129">
        <f>SUM(D10:D26)</f>
        <v>0</v>
      </c>
      <c r="E27" s="182">
        <f>SUM(E10:E26)</f>
        <v>0</v>
      </c>
      <c r="F27" s="104">
        <f>SUM(F10:F26)</f>
        <v>0</v>
      </c>
      <c r="G27" s="121"/>
    </row>
    <row r="28" spans="1:11" ht="15" thickBot="1" x14ac:dyDescent="0.4">
      <c r="A28" s="137"/>
      <c r="B28" s="148"/>
      <c r="C28" s="134"/>
      <c r="D28" s="134"/>
      <c r="E28" s="134"/>
      <c r="F28" s="134"/>
      <c r="G28" s="135"/>
    </row>
    <row r="29" spans="1:11" ht="15" thickTop="1" x14ac:dyDescent="0.35"/>
  </sheetData>
  <sheetProtection algorithmName="SHA-512" hashValue="SrUMXC1VY5e1t9bq93Y+TbPIaEcW0tUQUM1/SxnMSBsgABMcuBcmr+qYY94D0G6GaxhduUvF2j2mJFudCLjZMg==" saltValue="35U4rvMBcLgMds/LmrvO7Q==" spinCount="100000" sheet="1" selectLockedCells="1"/>
  <protectedRanges>
    <protectedRange algorithmName="SHA-512" hashValue="MvmTLotpKiuRnedI3A4NjKJPVt4Aw8hcOvmE+D0rBMjM9TiU4ekXkprnHN0k9oVg0inb+CLcUsLFrJxBFcC6uw==" saltValue="93Zg0snhziumGVhjlXa2zg==" spinCount="100000" sqref="C23:D26 D18:D22 C10:C22" name="Range1"/>
    <protectedRange algorithmName="SHA-512" hashValue="6MaqfLmjxE2CMsYMEtptASTKbC7XykMYNd+AlVy+V2v/64BykwcwkRmAkImBIYM0n+Am+TaTWEeHGgFZHNJWgA==" saltValue="1lVOneDC33VcvqS0774YtQ==" spinCount="100000" sqref="D10:D17" name="Range1_1"/>
  </protectedRanges>
  <mergeCells count="2">
    <mergeCell ref="B3:G5"/>
    <mergeCell ref="C7:F7"/>
  </mergeCells>
  <dataValidations xWindow="165" yWindow="453" count="1">
    <dataValidation allowBlank="1" showInputMessage="1" showErrorMessage="1" prompt="Please enter area in hectares." sqref="D10:D26"/>
  </dataValidations>
  <pageMargins left="0.7" right="0.7" top="0.75" bottom="0.75" header="0.3" footer="0.3"/>
  <extLst>
    <ext xmlns:x14="http://schemas.microsoft.com/office/spreadsheetml/2009/9/main" uri="{CCE6A557-97BC-4b89-ADB6-D9C93CAAB3DF}">
      <x14:dataValidations xmlns:xm="http://schemas.microsoft.com/office/excel/2006/main" xWindow="165" yWindow="453" count="1">
        <x14:dataValidation type="list" allowBlank="1" showInputMessage="1" showErrorMessage="1" errorTitle="Landcover" error="Please select all pre exisitng landcover types." prompt="Select post-development land use types from the drop down list.">
          <x14:formula1>
            <xm:f>Lookups!$G$378:$G$385</xm:f>
          </x14:formula1>
          <xm:sqref>C10:C26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3"/>
  <sheetViews>
    <sheetView showGridLines="0" showRowColHeaders="0" zoomScaleNormal="100" workbookViewId="0"/>
  </sheetViews>
  <sheetFormatPr defaultColWidth="9.26953125" defaultRowHeight="14.5" x14ac:dyDescent="0.35"/>
  <cols>
    <col min="1" max="1" width="9.26953125" style="136"/>
    <col min="2" max="2" width="4.7265625" style="136" customWidth="1"/>
    <col min="3" max="3" width="30.453125" style="136" customWidth="1"/>
    <col min="4" max="4" width="26.7265625" style="136" customWidth="1"/>
    <col min="5" max="5" width="9.26953125" style="136"/>
    <col min="6" max="6" width="35" style="136" customWidth="1"/>
    <col min="7" max="7" width="23.26953125" style="136" customWidth="1"/>
    <col min="8" max="10" width="9.26953125" style="136"/>
    <col min="11" max="11" width="7.26953125" style="136" customWidth="1"/>
    <col min="12" max="16384" width="9.26953125" style="136"/>
  </cols>
  <sheetData>
    <row r="2" spans="1:12" ht="15" thickBot="1" x14ac:dyDescent="0.4"/>
    <row r="3" spans="1:12" ht="15" thickTop="1" x14ac:dyDescent="0.35">
      <c r="B3" s="284" t="s">
        <v>202</v>
      </c>
      <c r="C3" s="285"/>
      <c r="D3" s="285"/>
      <c r="E3" s="285"/>
      <c r="F3" s="285"/>
      <c r="G3" s="285"/>
      <c r="H3" s="286"/>
    </row>
    <row r="4" spans="1:12" x14ac:dyDescent="0.35">
      <c r="B4" s="273"/>
      <c r="C4" s="274"/>
      <c r="D4" s="274"/>
      <c r="E4" s="274"/>
      <c r="F4" s="274"/>
      <c r="G4" s="274"/>
      <c r="H4" s="275"/>
    </row>
    <row r="5" spans="1:12" x14ac:dyDescent="0.35">
      <c r="B5" s="273"/>
      <c r="C5" s="274"/>
      <c r="D5" s="274"/>
      <c r="E5" s="274"/>
      <c r="F5" s="274"/>
      <c r="G5" s="274"/>
      <c r="H5" s="275"/>
      <c r="I5" s="139"/>
      <c r="J5" s="139"/>
      <c r="K5" s="139"/>
      <c r="L5" s="139"/>
    </row>
    <row r="6" spans="1:12" ht="16.5" x14ac:dyDescent="0.35">
      <c r="A6" s="139"/>
      <c r="B6" s="131"/>
      <c r="C6" s="4"/>
      <c r="D6" s="4"/>
      <c r="E6" s="4"/>
      <c r="F6" s="4"/>
      <c r="G6" s="4"/>
      <c r="H6" s="121"/>
      <c r="L6" s="140"/>
    </row>
    <row r="7" spans="1:12" ht="17.5" x14ac:dyDescent="0.35">
      <c r="A7" s="139"/>
      <c r="B7" s="131"/>
      <c r="C7" s="287" t="s">
        <v>201</v>
      </c>
      <c r="D7" s="287"/>
      <c r="E7" s="4"/>
      <c r="F7" s="4"/>
      <c r="G7" s="4"/>
      <c r="H7" s="121"/>
      <c r="L7" s="140"/>
    </row>
    <row r="8" spans="1:12" ht="18" hidden="1" customHeight="1" x14ac:dyDescent="0.5">
      <c r="A8" s="139"/>
      <c r="B8" s="131"/>
      <c r="C8" s="4"/>
      <c r="D8" s="4"/>
      <c r="E8" s="4"/>
      <c r="F8" s="4"/>
      <c r="G8" s="4"/>
      <c r="H8" s="166"/>
      <c r="I8" s="169"/>
      <c r="J8" s="170"/>
      <c r="L8" s="142"/>
    </row>
    <row r="9" spans="1:12" ht="12" hidden="1" customHeight="1" x14ac:dyDescent="0.5">
      <c r="A9" s="139"/>
      <c r="B9" s="131"/>
      <c r="C9" s="4"/>
      <c r="D9" s="4"/>
      <c r="E9" s="4"/>
      <c r="F9" s="4"/>
      <c r="G9" s="4"/>
      <c r="H9" s="167"/>
      <c r="I9" s="171"/>
      <c r="J9" s="172"/>
      <c r="L9" s="142"/>
    </row>
    <row r="10" spans="1:12" ht="17" hidden="1" thickBot="1" x14ac:dyDescent="0.55000000000000004">
      <c r="A10" s="139"/>
      <c r="B10" s="131"/>
      <c r="C10" s="71" t="s">
        <v>91</v>
      </c>
      <c r="D10" s="98" t="str">
        <f>'Stage 1'!D29</f>
        <v/>
      </c>
      <c r="E10" s="30"/>
      <c r="F10" s="4"/>
      <c r="G10" s="4"/>
      <c r="H10" s="167"/>
      <c r="I10" s="171"/>
      <c r="J10" s="172"/>
      <c r="L10" s="142"/>
    </row>
    <row r="11" spans="1:12" ht="21" hidden="1" customHeight="1" thickBot="1" x14ac:dyDescent="0.55000000000000004">
      <c r="A11" s="139"/>
      <c r="B11" s="131"/>
      <c r="C11" s="120" t="s">
        <v>90</v>
      </c>
      <c r="D11" s="99">
        <f>'Stage 3'!E27-'Stage 2'!E32</f>
        <v>0</v>
      </c>
      <c r="E11" s="25"/>
      <c r="F11" s="4"/>
      <c r="G11" s="4"/>
      <c r="H11" s="167"/>
      <c r="I11" s="173"/>
      <c r="J11" s="172"/>
      <c r="K11" s="140"/>
      <c r="L11" s="143"/>
    </row>
    <row r="12" spans="1:12" ht="17" hidden="1" thickBot="1" x14ac:dyDescent="0.4">
      <c r="A12" s="139"/>
      <c r="B12" s="131"/>
      <c r="C12" s="120" t="s">
        <v>89</v>
      </c>
      <c r="D12" s="68" t="e">
        <f>D10+D11</f>
        <v>#VALUE!</v>
      </c>
      <c r="E12" s="26"/>
      <c r="F12" s="4"/>
      <c r="G12" s="4"/>
      <c r="H12" s="145"/>
      <c r="I12" s="174"/>
      <c r="J12" s="142"/>
      <c r="K12" s="142"/>
      <c r="L12" s="143"/>
    </row>
    <row r="13" spans="1:12" ht="29.25" hidden="1" customHeight="1" x14ac:dyDescent="0.35">
      <c r="B13" s="131"/>
      <c r="C13" s="119" t="s">
        <v>88</v>
      </c>
      <c r="D13" s="100" t="e">
        <f>D12*1.2</f>
        <v>#VALUE!</v>
      </c>
      <c r="E13" s="27"/>
      <c r="F13" s="4"/>
      <c r="G13" s="4"/>
      <c r="H13" s="147"/>
      <c r="I13" s="175"/>
      <c r="J13" s="143"/>
      <c r="K13" s="143"/>
    </row>
    <row r="14" spans="1:12" ht="11.25" hidden="1" customHeight="1" x14ac:dyDescent="0.35">
      <c r="B14" s="131"/>
      <c r="C14" s="30"/>
      <c r="D14" s="168"/>
      <c r="E14" s="30"/>
      <c r="F14" s="4"/>
      <c r="G14" s="4"/>
      <c r="H14" s="121"/>
    </row>
    <row r="15" spans="1:12" hidden="1" x14ac:dyDescent="0.35">
      <c r="B15" s="131"/>
      <c r="C15" s="30"/>
      <c r="D15" s="168"/>
      <c r="E15" s="30"/>
      <c r="F15" s="4"/>
      <c r="G15" s="4"/>
      <c r="H15" s="121"/>
    </row>
    <row r="16" spans="1:12" ht="15" hidden="1" thickBot="1" x14ac:dyDescent="0.4">
      <c r="B16" s="131"/>
      <c r="C16" s="71" t="s">
        <v>84</v>
      </c>
      <c r="D16" s="98" t="str">
        <f>'Stage 1'!D34</f>
        <v/>
      </c>
      <c r="E16" s="30"/>
      <c r="F16" s="4"/>
      <c r="G16" s="4"/>
      <c r="H16" s="121"/>
    </row>
    <row r="17" spans="2:8" ht="15" hidden="1" thickBot="1" x14ac:dyDescent="0.4">
      <c r="B17" s="131"/>
      <c r="C17" s="120" t="s">
        <v>85</v>
      </c>
      <c r="D17" s="101">
        <f>'Stage 3'!F27-'Stage 2'!F32</f>
        <v>0</v>
      </c>
      <c r="E17" s="30"/>
      <c r="F17" s="4"/>
      <c r="G17" s="4"/>
      <c r="H17" s="121"/>
    </row>
    <row r="18" spans="2:8" ht="15" hidden="1" thickBot="1" x14ac:dyDescent="0.4">
      <c r="B18" s="131"/>
      <c r="C18" s="70" t="s">
        <v>86</v>
      </c>
      <c r="D18" s="88" t="e">
        <f>D16+D17</f>
        <v>#VALUE!</v>
      </c>
      <c r="E18" s="19"/>
      <c r="F18" s="4"/>
      <c r="G18" s="4"/>
      <c r="H18" s="121"/>
    </row>
    <row r="19" spans="2:8" hidden="1" x14ac:dyDescent="0.35">
      <c r="B19" s="131"/>
      <c r="C19" s="119" t="s">
        <v>87</v>
      </c>
      <c r="D19" s="100" t="e">
        <f>D18*1.2</f>
        <v>#VALUE!</v>
      </c>
      <c r="E19" s="19"/>
      <c r="F19" s="4"/>
      <c r="G19" s="4"/>
      <c r="H19" s="121"/>
    </row>
    <row r="20" spans="2:8" ht="16.5" x14ac:dyDescent="0.35">
      <c r="B20" s="131"/>
      <c r="C20" s="10"/>
      <c r="D20" s="12"/>
      <c r="E20" s="13"/>
      <c r="F20" s="4"/>
      <c r="G20" s="4"/>
      <c r="H20" s="121"/>
    </row>
    <row r="21" spans="2:8" ht="24.75" customHeight="1" x14ac:dyDescent="0.35">
      <c r="B21" s="131"/>
      <c r="C21" s="288" t="str">
        <f>IFERROR(IF(AND('Stage 1'!$D$9&lt;DATE(2025,1,1),OR((VLOOKUP('Stage 1'!$D$13,Lookups!$C$8:$G$46,2,FALSE))&gt;(VLOOKUP('Stage 1'!$D$13,Lookups!$C$8:$G$46,4,FALSE)),(VLOOKUP('Stage 1'!$D$13,Lookups!$C$8:$G$46,3,FALSE))&gt;(VLOOKUP('Stage 1'!$D$13,Lookups!$C$8:$G$46,5,FALSE)))),"Post-2025 Annual Nutrient Budget","Annual Nutrient Budget"),"")</f>
        <v/>
      </c>
      <c r="D21" s="288"/>
      <c r="E21" s="13"/>
      <c r="F21" s="288" t="str">
        <f>IFERROR(IF(AND('Stage 1'!$D$9&lt;DATE(2025,1,1),OR((VLOOKUP('Stage 1'!$D$13,Lookups!$C$8:$G$46,2,FALSE))&gt;(VLOOKUP('Stage 1'!$D$13,Lookups!$C$8:$G$46,4,FALSE)),(VLOOKUP('Stage 1'!$D$13,Lookups!$C$8:$G$46,3,FALSE))&gt;(VLOOKUP('Stage 1'!$D$13,Lookups!$C$8:$G$46,5,FALSE)))),"Pre-2025 Annual Nutrient Budget",""),"")</f>
        <v/>
      </c>
      <c r="G21" s="288"/>
      <c r="H21" s="121"/>
    </row>
    <row r="22" spans="2:8" ht="15" customHeight="1" x14ac:dyDescent="0.35">
      <c r="B22" s="131"/>
      <c r="C22" s="289" t="s">
        <v>138</v>
      </c>
      <c r="D22" s="291" t="e">
        <f>IF(ROUND(D13,2)&lt;0,0&amp;" kg TP/year",ROUND(D13,2)&amp;" kg TP/year")</f>
        <v>#VALUE!</v>
      </c>
      <c r="E22" s="4"/>
      <c r="F22" s="289" t="str">
        <f>IFERROR(IF(AND('Stage 1'!$D$9&lt;DATE(2025,1,1),OR((VLOOKUP('Stage 1'!$D$13,Lookups!$C$8:$G$46,2,FALSE))&gt;(VLOOKUP('Stage 1'!$D$13,Lookups!$C$8:$G$46,4,FALSE)),(VLOOKUP('Stage 1'!$D$13,Lookups!$C$8:$G$46,3,FALSE))&gt;(VLOOKUP('Stage 1'!$D$13,Lookups!$C$8:$G$46,5,FALSE)))),"The pre-2025 annual phosphorus load to mitigate is:",""),"")</f>
        <v/>
      </c>
      <c r="G22" s="290" t="str">
        <f>IFERROR(IF(AND('Stage 1'!$D$9&lt;DATE(2025,1,1),OR((VLOOKUP('Stage 1'!$D$13,Lookups!$C$8:$G$46,2,FALSE))&gt;(VLOOKUP('Stage 1'!$D$13,Lookups!$C$8:$G$46,4,FALSE)),(VLOOKUP('Stage 1'!$D$13,Lookups!$C$8:$G$46,3,FALSE))&gt;(VLOOKUP('Stage 1'!$D$13,Lookups!$C$8:$G$46,5,FALSE)))),IF(ROUND(('Stage 3'!E27-'Stage 2'!E32+'Stage 1'!H22)*1.2,2)&lt;0,0&amp;" kg TP/year",ROUND(('Stage 3'!E27-'Stage 2'!E32+'Stage 1'!H22)*1.2,2)&amp;" kg TP/year"),""),"")</f>
        <v/>
      </c>
      <c r="H22" s="121"/>
    </row>
    <row r="23" spans="2:8" ht="15" customHeight="1" x14ac:dyDescent="0.35">
      <c r="B23" s="131"/>
      <c r="C23" s="289"/>
      <c r="D23" s="291"/>
      <c r="E23" s="4"/>
      <c r="F23" s="289"/>
      <c r="G23" s="290"/>
      <c r="H23" s="121"/>
    </row>
    <row r="24" spans="2:8" ht="15" customHeight="1" x14ac:dyDescent="0.35">
      <c r="B24" s="131"/>
      <c r="C24" s="289"/>
      <c r="D24" s="291"/>
      <c r="E24" s="4"/>
      <c r="F24" s="289"/>
      <c r="G24" s="290"/>
      <c r="H24" s="121"/>
    </row>
    <row r="25" spans="2:8" ht="15" customHeight="1" x14ac:dyDescent="0.35">
      <c r="B25" s="131"/>
      <c r="C25" s="289"/>
      <c r="D25" s="291"/>
      <c r="E25" s="4"/>
      <c r="F25" s="289"/>
      <c r="G25" s="290"/>
      <c r="H25" s="121"/>
    </row>
    <row r="26" spans="2:8" ht="15" hidden="1" customHeight="1" x14ac:dyDescent="0.35">
      <c r="B26" s="131"/>
      <c r="C26" s="30"/>
      <c r="D26" s="102"/>
      <c r="E26" s="4"/>
      <c r="F26" s="4"/>
      <c r="G26" s="4"/>
      <c r="H26" s="121"/>
    </row>
    <row r="27" spans="2:8" hidden="1" x14ac:dyDescent="0.35">
      <c r="B27" s="131"/>
      <c r="C27" s="30"/>
      <c r="D27" s="102"/>
      <c r="E27" s="4"/>
      <c r="F27" s="84"/>
      <c r="G27" s="4"/>
      <c r="H27" s="121"/>
    </row>
    <row r="28" spans="2:8" ht="15" hidden="1" customHeight="1" x14ac:dyDescent="0.35">
      <c r="B28" s="131"/>
      <c r="C28" s="289" t="s">
        <v>139</v>
      </c>
      <c r="D28" s="291" t="e">
        <f>IF(ROUND(D19,2)&lt;0,0&amp;" kg TN/year",ROUND(D19,2)&amp;" kg TN/year")</f>
        <v>#VALUE!</v>
      </c>
      <c r="E28" s="4"/>
      <c r="F28" s="84"/>
      <c r="G28" s="290" t="str">
        <f>IFERROR(IF(AND('Stage 1'!$D$9&lt;DATE(2025,1,1),OR((VLOOKUP('Stage 1'!$D$13,Lookups!$C$8:$G$46,2,FALSE))&gt;(VLOOKUP('Stage 1'!$D$13,Lookups!$C$8:$G$46,4,FALSE)),(VLOOKUP('Stage 1'!$D$13,Lookups!$C$8:$G$46,3,FALSE))&gt;(VLOOKUP('Stage 1'!$D$13,Lookups!$C$8:$G$46,5,FALSE)))),IF(ROUND(('Stage 3'!F27-'Stage 2'!F32+'Stage 1'!H35)*1.2,2)&lt;0,0&amp;" kg TN/year",ROUND(('Stage 3'!F27-'Stage 2'!F32+'Stage 1'!H35)*1.2,2)&amp;" kg TN/year"),""),"")</f>
        <v/>
      </c>
      <c r="H28" s="121"/>
    </row>
    <row r="29" spans="2:8" ht="15.75" hidden="1" customHeight="1" x14ac:dyDescent="0.35">
      <c r="B29" s="131"/>
      <c r="C29" s="289"/>
      <c r="D29" s="291"/>
      <c r="E29" s="4"/>
      <c r="F29" s="289" t="str">
        <f>IFERROR(IF(AND('Stage 1'!$D$9&lt;DATE(2025,1,1),OR((VLOOKUP('Stage 1'!$D$13,Lookups!$C$8:$G$46,2,FALSE))&gt;(VLOOKUP('Stage 1'!$D$13,Lookups!$C$8:$G$46,4,FALSE)),(VLOOKUP('Stage 1'!$D$13,Lookups!$C$8:$G$46,3,FALSE))&gt;(VLOOKUP('Stage 1'!$D$13,Lookups!$C$8:$G$46,5,FALSE)))),"The pre-2025 annual nitrogen load to mitigate is:",""),"")</f>
        <v/>
      </c>
      <c r="G29" s="290"/>
      <c r="H29" s="121"/>
    </row>
    <row r="30" spans="2:8" ht="15" hidden="1" customHeight="1" x14ac:dyDescent="0.35">
      <c r="B30" s="131"/>
      <c r="C30" s="289"/>
      <c r="D30" s="291"/>
      <c r="E30" s="4"/>
      <c r="F30" s="289"/>
      <c r="G30" s="290"/>
      <c r="H30" s="121"/>
    </row>
    <row r="31" spans="2:8" ht="15.75" hidden="1" customHeight="1" x14ac:dyDescent="0.35">
      <c r="B31" s="131"/>
      <c r="C31" s="289"/>
      <c r="D31" s="291"/>
      <c r="E31" s="4"/>
      <c r="F31" s="289"/>
      <c r="G31" s="290"/>
      <c r="H31" s="121"/>
    </row>
    <row r="32" spans="2:8" ht="15" thickBot="1" x14ac:dyDescent="0.4">
      <c r="B32" s="148"/>
      <c r="C32" s="134"/>
      <c r="D32" s="134"/>
      <c r="E32" s="134"/>
      <c r="F32" s="134"/>
      <c r="G32" s="134"/>
      <c r="H32" s="135"/>
    </row>
    <row r="33" ht="15" thickTop="1" x14ac:dyDescent="0.35"/>
  </sheetData>
  <sheetProtection algorithmName="SHA-512" hashValue="C2HwPeYP9w1ybNxWoq88dVafrw/dcNa1fHAOgkhyfpOxZKX1BrpuHrMBFZWh0JkVdw0Z2E8WjkmZ6mXTTynqiw==" saltValue="Jmkyq7doMmU5PDjGVn+9Qw==" spinCount="100000" sheet="1" selectLockedCells="1"/>
  <mergeCells count="12">
    <mergeCell ref="B3:H5"/>
    <mergeCell ref="C7:D7"/>
    <mergeCell ref="F21:G21"/>
    <mergeCell ref="F22:F25"/>
    <mergeCell ref="F29:F31"/>
    <mergeCell ref="G22:G25"/>
    <mergeCell ref="G28:G31"/>
    <mergeCell ref="C22:C25"/>
    <mergeCell ref="C28:C31"/>
    <mergeCell ref="D22:D25"/>
    <mergeCell ref="D28:D31"/>
    <mergeCell ref="C21:D21"/>
  </mergeCells>
  <conditionalFormatting sqref="G22:G25">
    <cfRule type="expression" dxfId="1" priority="2">
      <formula>($C$21="Post-2025 Annual Nutrient Budget")</formula>
    </cfRule>
  </conditionalFormatting>
  <conditionalFormatting sqref="G28:G31">
    <cfRule type="expression" dxfId="0" priority="1">
      <formula>($C$21="Post-2025 Annual Nutrient Budget")</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'C:\Users\DS56\OneDrive - Ricardo Plc\NE NN\[Copy of Herefordshire Council Phosphate Budget Calculator_Final.xlsx]Stage 2 and 3 lookups'!#REF!</xm:f>
          </x14:formula1>
          <xm:sqref>J9:J11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vt:lpstr>
      <vt:lpstr>Background</vt:lpstr>
      <vt:lpstr>River Lugg and Wye SAC</vt:lpstr>
      <vt:lpstr>Instructions</vt:lpstr>
      <vt:lpstr>Development site details</vt:lpstr>
      <vt:lpstr>Stage 1</vt:lpstr>
      <vt:lpstr>Stage 2</vt:lpstr>
      <vt:lpstr>Stage 3</vt:lpstr>
      <vt:lpstr>Stage 4</vt:lpstr>
      <vt:lpstr>Stage 4 (2)</vt:lpstr>
      <vt:lpstr>Lookups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River Lugg: Nutrient budget calculator</dc:title>
  <dc:creator>Herefordshire Council</dc:creator>
  <cp:keywords>planning;development;nutrients;phosphate;River Lugg;catchment</cp:keywords>
  <cp:lastModifiedBy>Harris, Susan</cp:lastModifiedBy>
  <dcterms:created xsi:type="dcterms:W3CDTF">2021-10-14T13:24:34Z</dcterms:created>
  <dcterms:modified xsi:type="dcterms:W3CDTF">2022-06-16T13:32:18Z</dcterms:modified>
  <cp:category>planning</cp:category>
</cp:coreProperties>
</file>